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7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B1AC" lockStructure="1"/>
  <bookViews>
    <workbookView showSheetTabs="0" xWindow="-375" yWindow="-105" windowWidth="7725" windowHeight="8250" activeTab="4"/>
  </bookViews>
  <sheets>
    <sheet name="Menú Principa" sheetId="6" r:id="rId1"/>
    <sheet name="Diaria" sheetId="22" r:id="rId2"/>
    <sheet name="Semanal" sheetId="1" r:id="rId3"/>
    <sheet name="Quincenal" sheetId="3" r:id="rId4"/>
    <sheet name="Mensual" sheetId="4" r:id="rId5"/>
    <sheet name="Anual" sheetId="8" r:id="rId6"/>
    <sheet name="Asimilables" sheetId="5" r:id="rId7"/>
    <sheet name="Separacion" sheetId="19" r:id="rId8"/>
    <sheet name="Arrendamiento mensual" sheetId="7" r:id="rId9"/>
    <sheet name="Arr_Acum" sheetId="14" r:id="rId10"/>
    <sheet name="Honorarios" sheetId="11" r:id="rId11"/>
    <sheet name="Hono_Acum" sheetId="15" r:id="rId12"/>
    <sheet name="Enaj_1" sheetId="16" r:id="rId13"/>
    <sheet name="Enajenacion" sheetId="9" r:id="rId14"/>
    <sheet name="Anual_General" sheetId="18" r:id="rId15"/>
    <sheet name="Aguinaldos" sheetId="17" r:id="rId16"/>
    <sheet name="Imss" sheetId="13" r:id="rId17"/>
    <sheet name="Ietu" sheetId="23" r:id="rId18"/>
    <sheet name="INPC" sheetId="10" r:id="rId19"/>
    <sheet name="Tablas" sheetId="21" r:id="rId20"/>
  </sheets>
  <definedNames>
    <definedName name="Anual">Tablas!$A$57:$D$64</definedName>
    <definedName name="_xlnm.Print_Area" localSheetId="15">Aguinaldos!$A$1:$I$26</definedName>
    <definedName name="_xlnm.Print_Area" localSheetId="5">Anual!$A$1:$K$29</definedName>
    <definedName name="_xlnm.Print_Area" localSheetId="14">Anual_General!$A$1:$J$32</definedName>
    <definedName name="_xlnm.Print_Area" localSheetId="9">Arr_Acum!$A$1:$O$98</definedName>
    <definedName name="_xlnm.Print_Area" localSheetId="8">'Arrendamiento mensual'!$Q$23:$U$31</definedName>
    <definedName name="_xlnm.Print_Area" localSheetId="6">Asimilables!$A$1:$J$15</definedName>
    <definedName name="_xlnm.Print_Area" localSheetId="12">Enaj_1!$A$1:$M$57</definedName>
    <definedName name="_xlnm.Print_Area" localSheetId="13">Enajenacion!$A$1:$P$58</definedName>
    <definedName name="_xlnm.Print_Area" localSheetId="11">Hono_Acum!$A$1:$O$106</definedName>
    <definedName name="_xlnm.Print_Area" localSheetId="10">Honorarios!$A$1:$K$68</definedName>
    <definedName name="_xlnm.Print_Area" localSheetId="17">Ietu!$A$1:$O$168</definedName>
    <definedName name="_xlnm.Print_Area" localSheetId="4">Mensual!$A$1:$J$26</definedName>
    <definedName name="_xlnm.Print_Area" localSheetId="3">Quincenal!$A$1:$J$28</definedName>
    <definedName name="_xlnm.Print_Area" localSheetId="2">Semanal!$A$1:$F$23</definedName>
    <definedName name="_xlnm.Print_Area" localSheetId="7">Separacion!$A$1:$I$29</definedName>
    <definedName name="_xlnm.Print_Area" localSheetId="19">Tablas!$A$1:$T$65</definedName>
    <definedName name="Contribuyentes">#REF!</definedName>
    <definedName name="Diaria">Tablas!$K$7:$N$14</definedName>
    <definedName name="INPC">INPC!$A$5:$M$55</definedName>
    <definedName name="Mensual">Tablas!$A$40:$D$47</definedName>
    <definedName name="Qna">Tablas!$A$23:$D$30</definedName>
    <definedName name="SaDiaria">Tablas!$Q$7:$S$17</definedName>
    <definedName name="SaSemana">Tablas!$G$7:$I$17</definedName>
    <definedName name="Semana">Tablas!$A$7:$D$14</definedName>
    <definedName name="SeMensual">Tablas!$G$40:$I$50</definedName>
    <definedName name="SeQna">Tablas!$G$23:$I$33</definedName>
    <definedName name="Tarifa1">Tablas!$A$73:$D$80</definedName>
    <definedName name="Tarifa10">Tablas!$AU$73:$AX$80</definedName>
    <definedName name="Tarifa11">Tablas!$AZ$73:$BC$80</definedName>
    <definedName name="Tarifa12">Tablas!$BE$73:$BH$80</definedName>
    <definedName name="Tarifa2">Tablas!$F$73:$I$80</definedName>
    <definedName name="Tarifa3">Tablas!$K$73:$N$80</definedName>
    <definedName name="Tarifa4">Tablas!$P$73:$S$80</definedName>
    <definedName name="Tarifa5">Tablas!$U$73:$X$80</definedName>
    <definedName name="Tarifa6">Tablas!$Z$73:$AC$80</definedName>
    <definedName name="Tarifa7">Tablas!$AF$73:$AI$80</definedName>
    <definedName name="Tarifa8">Tablas!$AK$73:$AN$80</definedName>
    <definedName name="Tarifa9">Tablas!$AP$73:$AS$80</definedName>
  </definedNames>
  <calcPr calcId="145621"/>
</workbook>
</file>

<file path=xl/calcChain.xml><?xml version="1.0" encoding="utf-8"?>
<calcChain xmlns="http://schemas.openxmlformats.org/spreadsheetml/2006/main">
  <c r="L5" i="3" l="1"/>
  <c r="K5" i="3"/>
  <c r="L5" i="22"/>
  <c r="C10" i="19"/>
  <c r="H12" i="19"/>
  <c r="C5" i="5"/>
  <c r="C56" i="11"/>
  <c r="C54" i="11"/>
  <c r="C56" i="7"/>
  <c r="C54" i="7"/>
  <c r="C135" i="23"/>
  <c r="O135" i="23" s="1"/>
  <c r="C134" i="23"/>
  <c r="O134" i="23" s="1"/>
  <c r="N128" i="23"/>
  <c r="M128" i="23"/>
  <c r="L128" i="23"/>
  <c r="K128" i="23"/>
  <c r="J128" i="23"/>
  <c r="I128" i="23"/>
  <c r="H128" i="23"/>
  <c r="G128" i="23"/>
  <c r="F128" i="23"/>
  <c r="E128" i="23"/>
  <c r="D128" i="23"/>
  <c r="C128" i="23"/>
  <c r="N119" i="23"/>
  <c r="M119" i="23"/>
  <c r="L119" i="23"/>
  <c r="K119" i="23"/>
  <c r="J119" i="23"/>
  <c r="I119" i="23"/>
  <c r="H119" i="23"/>
  <c r="G119" i="23"/>
  <c r="F119" i="23"/>
  <c r="E119" i="23"/>
  <c r="D119" i="23"/>
  <c r="C119" i="23"/>
  <c r="N110" i="23"/>
  <c r="M110" i="23"/>
  <c r="L110" i="23"/>
  <c r="K110" i="23"/>
  <c r="J110" i="23"/>
  <c r="I110" i="23"/>
  <c r="H110" i="23"/>
  <c r="G110" i="23"/>
  <c r="F110" i="23"/>
  <c r="E110" i="23"/>
  <c r="D110" i="23"/>
  <c r="C110" i="23"/>
  <c r="O126" i="23"/>
  <c r="O125" i="23"/>
  <c r="O117" i="23"/>
  <c r="O116" i="23"/>
  <c r="O108" i="23"/>
  <c r="O107" i="23"/>
  <c r="N101" i="23"/>
  <c r="M101" i="23"/>
  <c r="L101" i="23"/>
  <c r="K101" i="23"/>
  <c r="J101" i="23"/>
  <c r="I101" i="23"/>
  <c r="H101" i="23"/>
  <c r="G101" i="23"/>
  <c r="F101" i="23"/>
  <c r="E101" i="23"/>
  <c r="D101" i="23"/>
  <c r="C101" i="23"/>
  <c r="O99" i="23"/>
  <c r="O98" i="23"/>
  <c r="D61" i="23"/>
  <c r="E61" i="23" s="1"/>
  <c r="F61" i="23" s="1"/>
  <c r="G61" i="23" s="1"/>
  <c r="H61" i="23" s="1"/>
  <c r="I61" i="23" s="1"/>
  <c r="J61" i="23" s="1"/>
  <c r="K61" i="23" s="1"/>
  <c r="L61" i="23" s="1"/>
  <c r="M61" i="23" s="1"/>
  <c r="N61" i="23" s="1"/>
  <c r="AC8" i="17"/>
  <c r="AT12" i="9"/>
  <c r="AT13" i="9" s="1"/>
  <c r="AT14" i="9" s="1"/>
  <c r="AT15" i="9" s="1"/>
  <c r="AT16" i="9" s="1"/>
  <c r="AT17" i="9" s="1"/>
  <c r="AT18" i="9" s="1"/>
  <c r="AT19" i="9" s="1"/>
  <c r="AT20" i="9" s="1"/>
  <c r="AT21" i="9" s="1"/>
  <c r="AT22" i="9" s="1"/>
  <c r="AT23" i="9" s="1"/>
  <c r="AT24" i="9" s="1"/>
  <c r="AT25" i="9" s="1"/>
  <c r="AT26" i="9" s="1"/>
  <c r="AT27" i="9" s="1"/>
  <c r="AT28" i="9" s="1"/>
  <c r="AT29" i="9" s="1"/>
  <c r="AT30" i="9" s="1"/>
  <c r="AT31" i="9" s="1"/>
  <c r="AT32" i="9" s="1"/>
  <c r="AT33" i="9" s="1"/>
  <c r="AT34" i="9" s="1"/>
  <c r="AT35" i="9" s="1"/>
  <c r="AT36" i="9" s="1"/>
  <c r="AT37" i="9" s="1"/>
  <c r="AT38" i="9" s="1"/>
  <c r="AT39" i="9" s="1"/>
  <c r="AT40" i="9" s="1"/>
  <c r="AT41" i="9" s="1"/>
  <c r="AT42" i="9" s="1"/>
  <c r="AT43" i="9" s="1"/>
  <c r="AT44" i="9" s="1"/>
  <c r="AT45" i="9" s="1"/>
  <c r="AT46" i="9" s="1"/>
  <c r="AR10" i="16"/>
  <c r="AR11" i="16"/>
  <c r="AR12" i="16" s="1"/>
  <c r="AR13" i="16" s="1"/>
  <c r="AR14" i="16" s="1"/>
  <c r="AR15" i="16" s="1"/>
  <c r="AR16" i="16" s="1"/>
  <c r="AR17" i="16" s="1"/>
  <c r="AR18" i="16" s="1"/>
  <c r="AR19" i="16" s="1"/>
  <c r="AR20" i="16" s="1"/>
  <c r="AR21" i="16" s="1"/>
  <c r="AR22" i="16" s="1"/>
  <c r="AR23" i="16" s="1"/>
  <c r="AR24" i="16" s="1"/>
  <c r="AR25" i="16" s="1"/>
  <c r="AR26" i="16" s="1"/>
  <c r="AR27" i="16" s="1"/>
  <c r="AR28" i="16" s="1"/>
  <c r="AR29" i="16" s="1"/>
  <c r="AR30" i="16" s="1"/>
  <c r="AR31" i="16" s="1"/>
  <c r="AR32" i="16" s="1"/>
  <c r="AR33" i="16" s="1"/>
  <c r="AR34" i="16" s="1"/>
  <c r="AR35" i="16" s="1"/>
  <c r="AR36" i="16" s="1"/>
  <c r="AR37" i="16" s="1"/>
  <c r="AR38" i="16" s="1"/>
  <c r="AR39" i="16" s="1"/>
  <c r="AR40" i="16" s="1"/>
  <c r="AR41" i="16" s="1"/>
  <c r="AR42" i="16" s="1"/>
  <c r="AR43" i="16" s="1"/>
  <c r="AR44" i="16" s="1"/>
  <c r="C8" i="9"/>
  <c r="F8" i="9" s="1"/>
  <c r="B8" i="9"/>
  <c r="C8" i="16"/>
  <c r="G8" i="16"/>
  <c r="B8" i="16"/>
  <c r="E8" i="4"/>
  <c r="F8" i="22"/>
  <c r="C66" i="23"/>
  <c r="A3" i="1"/>
  <c r="A3" i="3"/>
  <c r="A3" i="4" s="1"/>
  <c r="A3" i="8" s="1"/>
  <c r="A3" i="5" s="1"/>
  <c r="A4" i="19" s="1"/>
  <c r="A2" i="7" s="1"/>
  <c r="A2" i="14" s="1"/>
  <c r="A2" i="11" s="1"/>
  <c r="A2" i="15" s="1"/>
  <c r="A3" i="16" s="1"/>
  <c r="A3" i="9" s="1"/>
  <c r="A4" i="17" s="1"/>
  <c r="A3" i="23" s="1"/>
  <c r="A2" i="21" s="1"/>
  <c r="O26" i="15"/>
  <c r="O164" i="23"/>
  <c r="O160" i="23"/>
  <c r="O159" i="23"/>
  <c r="O158" i="23"/>
  <c r="O157" i="23"/>
  <c r="O156" i="23"/>
  <c r="O148" i="23"/>
  <c r="O147" i="23"/>
  <c r="O146" i="23"/>
  <c r="O145" i="23"/>
  <c r="O144" i="23"/>
  <c r="O124" i="23"/>
  <c r="O123" i="23"/>
  <c r="O122" i="23"/>
  <c r="O115" i="23"/>
  <c r="O114" i="23"/>
  <c r="O113" i="23"/>
  <c r="O106" i="23"/>
  <c r="O105" i="23"/>
  <c r="O104" i="23"/>
  <c r="O97" i="23"/>
  <c r="O96" i="23"/>
  <c r="O95" i="23"/>
  <c r="N162" i="23"/>
  <c r="M162" i="23"/>
  <c r="L162" i="23"/>
  <c r="K162" i="23"/>
  <c r="J162" i="23"/>
  <c r="I162" i="23"/>
  <c r="H162" i="23"/>
  <c r="G162" i="23"/>
  <c r="F162" i="23"/>
  <c r="E162" i="23"/>
  <c r="D162" i="23"/>
  <c r="N150" i="23"/>
  <c r="M150" i="23"/>
  <c r="L150" i="23"/>
  <c r="K150" i="23"/>
  <c r="J150" i="23"/>
  <c r="I150" i="23"/>
  <c r="H150" i="23"/>
  <c r="G150" i="23"/>
  <c r="F150" i="23"/>
  <c r="E150" i="23"/>
  <c r="D150" i="23"/>
  <c r="N133" i="23"/>
  <c r="M133" i="23"/>
  <c r="L133" i="23"/>
  <c r="K133" i="23"/>
  <c r="J133" i="23"/>
  <c r="I133" i="23"/>
  <c r="H133" i="23"/>
  <c r="G133" i="23"/>
  <c r="F133" i="23"/>
  <c r="E133" i="23"/>
  <c r="D133" i="23"/>
  <c r="N132" i="23"/>
  <c r="M132" i="23"/>
  <c r="L132" i="23"/>
  <c r="K132" i="23"/>
  <c r="J132" i="23"/>
  <c r="I132" i="23"/>
  <c r="H132" i="23"/>
  <c r="G132" i="23"/>
  <c r="F132" i="23"/>
  <c r="E132" i="23"/>
  <c r="D132" i="23"/>
  <c r="N131" i="23"/>
  <c r="N139" i="23" s="1"/>
  <c r="M131" i="23"/>
  <c r="M139" i="23" s="1"/>
  <c r="L131" i="23"/>
  <c r="L139" i="23" s="1"/>
  <c r="K131" i="23"/>
  <c r="K139" i="23" s="1"/>
  <c r="J131" i="23"/>
  <c r="J139" i="23" s="1"/>
  <c r="I131" i="23"/>
  <c r="I139" i="23" s="1"/>
  <c r="H131" i="23"/>
  <c r="H139" i="23" s="1"/>
  <c r="G131" i="23"/>
  <c r="G139" i="23" s="1"/>
  <c r="F131" i="23"/>
  <c r="E131" i="23"/>
  <c r="D131" i="23"/>
  <c r="D139" i="23"/>
  <c r="D152" i="23" s="1"/>
  <c r="D167" i="23" s="1"/>
  <c r="D179" i="23" s="1"/>
  <c r="C162" i="23"/>
  <c r="O162" i="23" s="1"/>
  <c r="C150" i="23"/>
  <c r="O150" i="23" s="1"/>
  <c r="C133" i="23"/>
  <c r="C132" i="23"/>
  <c r="C131" i="23"/>
  <c r="O52" i="23"/>
  <c r="O51" i="23"/>
  <c r="O50" i="23"/>
  <c r="O49" i="23"/>
  <c r="O48" i="23"/>
  <c r="O47" i="23"/>
  <c r="O46" i="23"/>
  <c r="O45" i="23"/>
  <c r="O44" i="23"/>
  <c r="O43" i="23"/>
  <c r="O42" i="23"/>
  <c r="O41" i="23"/>
  <c r="O40" i="23"/>
  <c r="O39" i="23"/>
  <c r="O38" i="23"/>
  <c r="O37" i="23"/>
  <c r="O36" i="23"/>
  <c r="O35" i="23"/>
  <c r="O34" i="23"/>
  <c r="O33" i="23"/>
  <c r="O32" i="23"/>
  <c r="O31" i="23"/>
  <c r="N54" i="23"/>
  <c r="M54" i="23"/>
  <c r="L54" i="23"/>
  <c r="K54" i="23"/>
  <c r="J54" i="23"/>
  <c r="I54" i="23"/>
  <c r="H54" i="23"/>
  <c r="G54" i="23"/>
  <c r="F54" i="23"/>
  <c r="E54" i="23"/>
  <c r="D54" i="23"/>
  <c r="C54" i="23"/>
  <c r="C55" i="23" s="1"/>
  <c r="O25" i="23"/>
  <c r="O20" i="23"/>
  <c r="O19" i="23"/>
  <c r="O18" i="23"/>
  <c r="O17" i="23"/>
  <c r="O16" i="23"/>
  <c r="C15" i="23"/>
  <c r="D15" i="23"/>
  <c r="D14" i="23"/>
  <c r="D22" i="23" s="1"/>
  <c r="D27" i="23" s="1"/>
  <c r="C14" i="23"/>
  <c r="K2" i="22"/>
  <c r="U19" i="22" s="1"/>
  <c r="U20" i="22" s="1"/>
  <c r="G12" i="22"/>
  <c r="F12" i="22"/>
  <c r="G11" i="22"/>
  <c r="G10" i="22"/>
  <c r="F10" i="22"/>
  <c r="F9" i="22"/>
  <c r="G7" i="22"/>
  <c r="F7" i="22"/>
  <c r="G6" i="22"/>
  <c r="F6" i="22"/>
  <c r="G5" i="22"/>
  <c r="F5" i="22"/>
  <c r="F15" i="22" s="1"/>
  <c r="AU27" i="18"/>
  <c r="B84" i="18"/>
  <c r="AU12" i="18"/>
  <c r="B82" i="18"/>
  <c r="AM8" i="18"/>
  <c r="AQ27" i="18"/>
  <c r="J11" i="7"/>
  <c r="J16" i="7" s="1"/>
  <c r="H7" i="13"/>
  <c r="I7" i="13"/>
  <c r="N7" i="13"/>
  <c r="T7" i="13" s="1"/>
  <c r="O7" i="13"/>
  <c r="P7" i="13"/>
  <c r="Q7" i="13"/>
  <c r="H8" i="13"/>
  <c r="L8" i="13" s="1"/>
  <c r="I8" i="13"/>
  <c r="M8" i="13"/>
  <c r="N8" i="13"/>
  <c r="R8" i="13" s="1"/>
  <c r="O8" i="13"/>
  <c r="P8" i="13"/>
  <c r="Q8" i="13"/>
  <c r="U8" i="13"/>
  <c r="H9" i="13"/>
  <c r="L9" i="13" s="1"/>
  <c r="I9" i="13"/>
  <c r="M9" i="13"/>
  <c r="N9" i="13"/>
  <c r="S9" i="13" s="1"/>
  <c r="O9" i="13"/>
  <c r="P9" i="13"/>
  <c r="Q9" i="13"/>
  <c r="U9" i="13"/>
  <c r="H10" i="13"/>
  <c r="I10" i="13"/>
  <c r="L10" i="13"/>
  <c r="M10" i="13"/>
  <c r="N10" i="13"/>
  <c r="S10" i="13" s="1"/>
  <c r="O10" i="13"/>
  <c r="P10" i="13"/>
  <c r="Q10" i="13"/>
  <c r="U10" i="13"/>
  <c r="H11" i="13"/>
  <c r="I11" i="13"/>
  <c r="L11" i="13" s="1"/>
  <c r="M11" i="13"/>
  <c r="N11" i="13"/>
  <c r="S11" i="13" s="1"/>
  <c r="O11" i="13"/>
  <c r="P11" i="13"/>
  <c r="Q11" i="13"/>
  <c r="U11" i="13"/>
  <c r="H12" i="13"/>
  <c r="L12" i="13" s="1"/>
  <c r="I12" i="13"/>
  <c r="M12" i="13"/>
  <c r="N12" i="13"/>
  <c r="R12" i="13" s="1"/>
  <c r="O12" i="13"/>
  <c r="P12" i="13"/>
  <c r="Q12" i="13"/>
  <c r="U12" i="13"/>
  <c r="H13" i="13"/>
  <c r="L13" i="13" s="1"/>
  <c r="I13" i="13"/>
  <c r="M13" i="13"/>
  <c r="N13" i="13"/>
  <c r="S13" i="13" s="1"/>
  <c r="O13" i="13"/>
  <c r="P13" i="13"/>
  <c r="Q13" i="13"/>
  <c r="U13" i="13"/>
  <c r="H14" i="13"/>
  <c r="I14" i="13"/>
  <c r="L14" i="13"/>
  <c r="M14" i="13"/>
  <c r="N14" i="13"/>
  <c r="R14" i="13" s="1"/>
  <c r="O14" i="13"/>
  <c r="P14" i="13"/>
  <c r="Q14" i="13"/>
  <c r="U14" i="13"/>
  <c r="H15" i="13"/>
  <c r="I15" i="13"/>
  <c r="L15" i="13" s="1"/>
  <c r="M15" i="13"/>
  <c r="N15" i="13"/>
  <c r="T15" i="13" s="1"/>
  <c r="O15" i="13"/>
  <c r="P15" i="13"/>
  <c r="Q15" i="13"/>
  <c r="U15" i="13"/>
  <c r="H16" i="13"/>
  <c r="L16" i="13" s="1"/>
  <c r="I16" i="13"/>
  <c r="M16" i="13"/>
  <c r="N16" i="13"/>
  <c r="S16" i="13" s="1"/>
  <c r="O16" i="13"/>
  <c r="P16" i="13"/>
  <c r="Q16" i="13"/>
  <c r="U16" i="13"/>
  <c r="H17" i="13"/>
  <c r="L17" i="13" s="1"/>
  <c r="I17" i="13"/>
  <c r="M17" i="13"/>
  <c r="N17" i="13"/>
  <c r="S17" i="13" s="1"/>
  <c r="O17" i="13"/>
  <c r="P17" i="13"/>
  <c r="Q17" i="13"/>
  <c r="U17" i="13"/>
  <c r="H18" i="13"/>
  <c r="I18" i="13"/>
  <c r="L18" i="13"/>
  <c r="M18" i="13"/>
  <c r="N18" i="13"/>
  <c r="R18" i="13" s="1"/>
  <c r="O18" i="13"/>
  <c r="P18" i="13"/>
  <c r="Q18" i="13"/>
  <c r="U18" i="13"/>
  <c r="H19" i="13"/>
  <c r="I19" i="13"/>
  <c r="L19" i="13" s="1"/>
  <c r="M19" i="13"/>
  <c r="N19" i="13"/>
  <c r="R19" i="13" s="1"/>
  <c r="O19" i="13"/>
  <c r="P19" i="13"/>
  <c r="Q19" i="13"/>
  <c r="U19" i="13"/>
  <c r="H20" i="13"/>
  <c r="L20" i="13" s="1"/>
  <c r="I20" i="13"/>
  <c r="M20" i="13"/>
  <c r="N20" i="13"/>
  <c r="T20" i="13" s="1"/>
  <c r="O20" i="13"/>
  <c r="P20" i="13"/>
  <c r="Q20" i="13"/>
  <c r="U20" i="13"/>
  <c r="H21" i="13"/>
  <c r="L21" i="13" s="1"/>
  <c r="I21" i="13"/>
  <c r="M21" i="13"/>
  <c r="N21" i="13"/>
  <c r="S21" i="13" s="1"/>
  <c r="O21" i="13"/>
  <c r="P21" i="13"/>
  <c r="Q21" i="13"/>
  <c r="U21" i="13"/>
  <c r="H22" i="13"/>
  <c r="I22" i="13"/>
  <c r="L22" i="13"/>
  <c r="M22" i="13"/>
  <c r="N22" i="13"/>
  <c r="T22" i="13" s="1"/>
  <c r="O22" i="13"/>
  <c r="P22" i="13"/>
  <c r="Q22" i="13"/>
  <c r="U22" i="13"/>
  <c r="H23" i="13"/>
  <c r="I23" i="13"/>
  <c r="L23" i="13" s="1"/>
  <c r="M23" i="13"/>
  <c r="N23" i="13"/>
  <c r="S23" i="13" s="1"/>
  <c r="O23" i="13"/>
  <c r="P23" i="13"/>
  <c r="Q23" i="13"/>
  <c r="U23" i="13"/>
  <c r="H24" i="13"/>
  <c r="L24" i="13" s="1"/>
  <c r="I24" i="13"/>
  <c r="M24" i="13"/>
  <c r="N24" i="13"/>
  <c r="R24" i="13" s="1"/>
  <c r="O24" i="13"/>
  <c r="P24" i="13"/>
  <c r="Q24" i="13"/>
  <c r="U24" i="13"/>
  <c r="H25" i="13"/>
  <c r="L25" i="13" s="1"/>
  <c r="I25" i="13"/>
  <c r="M25" i="13"/>
  <c r="N25" i="13"/>
  <c r="R25" i="13" s="1"/>
  <c r="O25" i="13"/>
  <c r="P25" i="13"/>
  <c r="Q25" i="13"/>
  <c r="U25" i="13"/>
  <c r="H26" i="13"/>
  <c r="I26" i="13"/>
  <c r="L26" i="13"/>
  <c r="M26" i="13"/>
  <c r="N26" i="13"/>
  <c r="S26" i="13" s="1"/>
  <c r="O26" i="13"/>
  <c r="P26" i="13"/>
  <c r="Q26" i="13"/>
  <c r="U26" i="13"/>
  <c r="H27" i="13"/>
  <c r="I27" i="13"/>
  <c r="L27" i="13" s="1"/>
  <c r="M27" i="13"/>
  <c r="N27" i="13"/>
  <c r="T27" i="13" s="1"/>
  <c r="O27" i="13"/>
  <c r="P27" i="13"/>
  <c r="Q27" i="13"/>
  <c r="U27" i="13"/>
  <c r="H28" i="13"/>
  <c r="L28" i="13" s="1"/>
  <c r="I28" i="13"/>
  <c r="M28" i="13"/>
  <c r="N28" i="13"/>
  <c r="S28" i="13" s="1"/>
  <c r="O28" i="13"/>
  <c r="P28" i="13"/>
  <c r="Q28" i="13"/>
  <c r="U28" i="13"/>
  <c r="H29" i="13"/>
  <c r="L29" i="13" s="1"/>
  <c r="I29" i="13"/>
  <c r="M29" i="13"/>
  <c r="N29" i="13"/>
  <c r="R29" i="13" s="1"/>
  <c r="O29" i="13"/>
  <c r="P29" i="13"/>
  <c r="Q29" i="13"/>
  <c r="U29" i="13"/>
  <c r="H30" i="13"/>
  <c r="I30" i="13"/>
  <c r="L30" i="13"/>
  <c r="M30" i="13"/>
  <c r="N30" i="13"/>
  <c r="S30" i="13" s="1"/>
  <c r="O30" i="13"/>
  <c r="P30" i="13"/>
  <c r="Q30" i="13"/>
  <c r="U30" i="13"/>
  <c r="H31" i="13"/>
  <c r="I31" i="13"/>
  <c r="L31" i="13" s="1"/>
  <c r="M31" i="13"/>
  <c r="N31" i="13"/>
  <c r="T31" i="13" s="1"/>
  <c r="O31" i="13"/>
  <c r="P31" i="13"/>
  <c r="Q31" i="13"/>
  <c r="U31" i="13"/>
  <c r="H32" i="13"/>
  <c r="L32" i="13" s="1"/>
  <c r="I32" i="13"/>
  <c r="M32" i="13"/>
  <c r="N32" i="13"/>
  <c r="S32" i="13" s="1"/>
  <c r="O32" i="13"/>
  <c r="P32" i="13"/>
  <c r="Q32" i="13"/>
  <c r="U32" i="13"/>
  <c r="H33" i="13"/>
  <c r="L33" i="13" s="1"/>
  <c r="I33" i="13"/>
  <c r="M33" i="13"/>
  <c r="N33" i="13"/>
  <c r="S33" i="13" s="1"/>
  <c r="O33" i="13"/>
  <c r="P33" i="13"/>
  <c r="Q33" i="13"/>
  <c r="U33" i="13"/>
  <c r="H34" i="13"/>
  <c r="I34" i="13"/>
  <c r="L34" i="13"/>
  <c r="M34" i="13"/>
  <c r="N34" i="13"/>
  <c r="R34" i="13" s="1"/>
  <c r="O34" i="13"/>
  <c r="P34" i="13"/>
  <c r="Q34" i="13"/>
  <c r="U34" i="13"/>
  <c r="H35" i="13"/>
  <c r="I35" i="13"/>
  <c r="L35" i="13" s="1"/>
  <c r="M35" i="13"/>
  <c r="N35" i="13"/>
  <c r="R35" i="13" s="1"/>
  <c r="O35" i="13"/>
  <c r="P35" i="13"/>
  <c r="Q35" i="13"/>
  <c r="U35" i="13"/>
  <c r="H36" i="13"/>
  <c r="L36" i="13" s="1"/>
  <c r="I36" i="13"/>
  <c r="M36" i="13"/>
  <c r="N36" i="13"/>
  <c r="S36" i="13" s="1"/>
  <c r="O36" i="13"/>
  <c r="P36" i="13"/>
  <c r="Q36" i="13"/>
  <c r="U36" i="13"/>
  <c r="H37" i="13"/>
  <c r="L37" i="13" s="1"/>
  <c r="I37" i="13"/>
  <c r="M37" i="13"/>
  <c r="N37" i="13"/>
  <c r="S37" i="13" s="1"/>
  <c r="O37" i="13"/>
  <c r="P37" i="13"/>
  <c r="Q37" i="13"/>
  <c r="U37" i="13"/>
  <c r="H38" i="13"/>
  <c r="I38" i="13"/>
  <c r="L38" i="13"/>
  <c r="M38" i="13"/>
  <c r="N38" i="13"/>
  <c r="R38" i="13" s="1"/>
  <c r="O38" i="13"/>
  <c r="P38" i="13"/>
  <c r="Q38" i="13"/>
  <c r="U38" i="13"/>
  <c r="H39" i="13"/>
  <c r="I39" i="13"/>
  <c r="L39" i="13" s="1"/>
  <c r="M39" i="13"/>
  <c r="N39" i="13"/>
  <c r="R39" i="13" s="1"/>
  <c r="O39" i="13"/>
  <c r="P39" i="13"/>
  <c r="Q39" i="13"/>
  <c r="U39" i="13"/>
  <c r="H40" i="13"/>
  <c r="L40" i="13" s="1"/>
  <c r="I40" i="13"/>
  <c r="M40" i="13"/>
  <c r="N40" i="13"/>
  <c r="S40" i="13" s="1"/>
  <c r="O40" i="13"/>
  <c r="P40" i="13"/>
  <c r="Q40" i="13"/>
  <c r="U40" i="13"/>
  <c r="H41" i="13"/>
  <c r="I41" i="13"/>
  <c r="L41" i="13"/>
  <c r="M41" i="13"/>
  <c r="N41" i="13"/>
  <c r="T41" i="13" s="1"/>
  <c r="O41" i="13"/>
  <c r="P41" i="13"/>
  <c r="Q41" i="13"/>
  <c r="U41" i="13"/>
  <c r="H42" i="13"/>
  <c r="I42" i="13"/>
  <c r="L42" i="13"/>
  <c r="M42" i="13"/>
  <c r="N42" i="13"/>
  <c r="S42" i="13" s="1"/>
  <c r="O42" i="13"/>
  <c r="P42" i="13"/>
  <c r="Q42" i="13"/>
  <c r="U42" i="13"/>
  <c r="H43" i="13"/>
  <c r="I43" i="13"/>
  <c r="L43" i="13" s="1"/>
  <c r="M43" i="13"/>
  <c r="N43" i="13"/>
  <c r="S43" i="13" s="1"/>
  <c r="O43" i="13"/>
  <c r="P43" i="13"/>
  <c r="Q43" i="13"/>
  <c r="U43" i="13"/>
  <c r="H44" i="13"/>
  <c r="L44" i="13" s="1"/>
  <c r="I44" i="13"/>
  <c r="M44" i="13"/>
  <c r="N44" i="13"/>
  <c r="S44" i="13" s="1"/>
  <c r="O44" i="13"/>
  <c r="P44" i="13"/>
  <c r="Q44" i="13"/>
  <c r="U44" i="13"/>
  <c r="H45" i="13"/>
  <c r="I45" i="13"/>
  <c r="L45" i="13"/>
  <c r="M45" i="13"/>
  <c r="N45" i="13"/>
  <c r="T45" i="13" s="1"/>
  <c r="O45" i="13"/>
  <c r="P45" i="13"/>
  <c r="Q45" i="13"/>
  <c r="U45" i="13"/>
  <c r="H46" i="13"/>
  <c r="I46" i="13"/>
  <c r="L46" i="13"/>
  <c r="M46" i="13"/>
  <c r="N46" i="13"/>
  <c r="S46" i="13" s="1"/>
  <c r="O46" i="13"/>
  <c r="P46" i="13"/>
  <c r="Q46" i="13"/>
  <c r="U46" i="13"/>
  <c r="H47" i="13"/>
  <c r="I47" i="13"/>
  <c r="L47" i="13" s="1"/>
  <c r="M47" i="13"/>
  <c r="N47" i="13"/>
  <c r="R47" i="13" s="1"/>
  <c r="O47" i="13"/>
  <c r="P47" i="13"/>
  <c r="Q47" i="13"/>
  <c r="U47" i="13"/>
  <c r="H48" i="13"/>
  <c r="L48" i="13" s="1"/>
  <c r="I48" i="13"/>
  <c r="M48" i="13"/>
  <c r="N48" i="13"/>
  <c r="R48" i="13" s="1"/>
  <c r="O48" i="13"/>
  <c r="P48" i="13"/>
  <c r="Q48" i="13"/>
  <c r="U48" i="13"/>
  <c r="H49" i="13"/>
  <c r="I49" i="13"/>
  <c r="L49" i="13"/>
  <c r="M49" i="13"/>
  <c r="N49" i="13"/>
  <c r="T49" i="13" s="1"/>
  <c r="O49" i="13"/>
  <c r="P49" i="13"/>
  <c r="Q49" i="13"/>
  <c r="U49" i="13"/>
  <c r="H50" i="13"/>
  <c r="I50" i="13"/>
  <c r="L50" i="13"/>
  <c r="M50" i="13"/>
  <c r="N50" i="13"/>
  <c r="S50" i="13" s="1"/>
  <c r="O50" i="13"/>
  <c r="P50" i="13"/>
  <c r="Q50" i="13"/>
  <c r="U50" i="13"/>
  <c r="H51" i="13"/>
  <c r="I51" i="13"/>
  <c r="L51" i="13" s="1"/>
  <c r="M51" i="13"/>
  <c r="N51" i="13"/>
  <c r="R51" i="13" s="1"/>
  <c r="O51" i="13"/>
  <c r="P51" i="13"/>
  <c r="Q51" i="13"/>
  <c r="U51" i="13"/>
  <c r="H52" i="13"/>
  <c r="L52" i="13" s="1"/>
  <c r="I52" i="13"/>
  <c r="M52" i="13"/>
  <c r="N52" i="13"/>
  <c r="R52" i="13" s="1"/>
  <c r="O52" i="13"/>
  <c r="P52" i="13"/>
  <c r="Q52" i="13"/>
  <c r="U52" i="13"/>
  <c r="H53" i="13"/>
  <c r="I53" i="13"/>
  <c r="L53" i="13"/>
  <c r="M53" i="13"/>
  <c r="N53" i="13"/>
  <c r="R53" i="13" s="1"/>
  <c r="O53" i="13"/>
  <c r="P53" i="13"/>
  <c r="Q53" i="13"/>
  <c r="U53" i="13"/>
  <c r="H54" i="13"/>
  <c r="I54" i="13"/>
  <c r="L54" i="13"/>
  <c r="M54" i="13"/>
  <c r="N54" i="13"/>
  <c r="R54" i="13" s="1"/>
  <c r="O54" i="13"/>
  <c r="P54" i="13"/>
  <c r="Q54" i="13"/>
  <c r="U54" i="13"/>
  <c r="H55" i="13"/>
  <c r="L55" i="13" s="1"/>
  <c r="I55" i="13"/>
  <c r="M55" i="13"/>
  <c r="N55" i="13"/>
  <c r="T55" i="13" s="1"/>
  <c r="O55" i="13"/>
  <c r="P55" i="13"/>
  <c r="Q55" i="13"/>
  <c r="U55" i="13"/>
  <c r="H56" i="13"/>
  <c r="L56" i="13" s="1"/>
  <c r="I56" i="13"/>
  <c r="M56" i="13"/>
  <c r="N56" i="13"/>
  <c r="R56" i="13" s="1"/>
  <c r="O56" i="13"/>
  <c r="P56" i="13"/>
  <c r="Q56" i="13"/>
  <c r="U56" i="13"/>
  <c r="H57" i="13"/>
  <c r="I57" i="13"/>
  <c r="L57" i="13"/>
  <c r="M57" i="13"/>
  <c r="N57" i="13"/>
  <c r="R57" i="13" s="1"/>
  <c r="O57" i="13"/>
  <c r="P57" i="13"/>
  <c r="Q57" i="13"/>
  <c r="U57" i="13"/>
  <c r="H58" i="13"/>
  <c r="I58" i="13"/>
  <c r="L58" i="13"/>
  <c r="M58" i="13"/>
  <c r="N58" i="13"/>
  <c r="S58" i="13" s="1"/>
  <c r="O58" i="13"/>
  <c r="P58" i="13"/>
  <c r="Q58" i="13"/>
  <c r="U58" i="13"/>
  <c r="H59" i="13"/>
  <c r="I59" i="13"/>
  <c r="L59" i="13" s="1"/>
  <c r="M59" i="13"/>
  <c r="N59" i="13"/>
  <c r="T59" i="13" s="1"/>
  <c r="O59" i="13"/>
  <c r="P59" i="13"/>
  <c r="Q59" i="13"/>
  <c r="U59" i="13"/>
  <c r="H60" i="13"/>
  <c r="L60" i="13" s="1"/>
  <c r="I60" i="13"/>
  <c r="M60" i="13"/>
  <c r="N60" i="13"/>
  <c r="R60" i="13" s="1"/>
  <c r="O60" i="13"/>
  <c r="P60" i="13"/>
  <c r="Q60" i="13"/>
  <c r="U60" i="13"/>
  <c r="H61" i="13"/>
  <c r="I61" i="13"/>
  <c r="L61" i="13"/>
  <c r="M61" i="13"/>
  <c r="N61" i="13"/>
  <c r="S61" i="13" s="1"/>
  <c r="O61" i="13"/>
  <c r="P61" i="13"/>
  <c r="Q61" i="13"/>
  <c r="U61" i="13"/>
  <c r="H62" i="13"/>
  <c r="I62" i="13"/>
  <c r="L62" i="13"/>
  <c r="M62" i="13"/>
  <c r="N62" i="13"/>
  <c r="S62" i="13" s="1"/>
  <c r="O62" i="13"/>
  <c r="P62" i="13"/>
  <c r="Q62" i="13"/>
  <c r="U62" i="13"/>
  <c r="H63" i="13"/>
  <c r="L63" i="13" s="1"/>
  <c r="I63" i="13"/>
  <c r="M63" i="13"/>
  <c r="N63" i="13"/>
  <c r="R63" i="13" s="1"/>
  <c r="O63" i="13"/>
  <c r="P63" i="13"/>
  <c r="Q63" i="13"/>
  <c r="U63" i="13"/>
  <c r="H64" i="13"/>
  <c r="L64" i="13" s="1"/>
  <c r="I64" i="13"/>
  <c r="M64" i="13"/>
  <c r="N64" i="13"/>
  <c r="R64" i="13" s="1"/>
  <c r="O64" i="13"/>
  <c r="P64" i="13"/>
  <c r="Q64" i="13"/>
  <c r="U64" i="13"/>
  <c r="H65" i="13"/>
  <c r="I65" i="13"/>
  <c r="L65" i="13"/>
  <c r="M65" i="13"/>
  <c r="N65" i="13"/>
  <c r="R65" i="13" s="1"/>
  <c r="O65" i="13"/>
  <c r="P65" i="13"/>
  <c r="Q65" i="13"/>
  <c r="U65" i="13"/>
  <c r="H66" i="13"/>
  <c r="I66" i="13"/>
  <c r="L66" i="13"/>
  <c r="M66" i="13"/>
  <c r="N66" i="13"/>
  <c r="R66" i="13" s="1"/>
  <c r="O66" i="13"/>
  <c r="P66" i="13"/>
  <c r="Q66" i="13"/>
  <c r="U66" i="13"/>
  <c r="H67" i="13"/>
  <c r="L67" i="13" s="1"/>
  <c r="I67" i="13"/>
  <c r="M67" i="13"/>
  <c r="N67" i="13"/>
  <c r="T67" i="13" s="1"/>
  <c r="O67" i="13"/>
  <c r="P67" i="13"/>
  <c r="Q67" i="13"/>
  <c r="U67" i="13"/>
  <c r="H68" i="13"/>
  <c r="L68" i="13" s="1"/>
  <c r="I68" i="13"/>
  <c r="M68" i="13"/>
  <c r="N68" i="13"/>
  <c r="T68" i="13" s="1"/>
  <c r="O68" i="13"/>
  <c r="P68" i="13"/>
  <c r="Q68" i="13"/>
  <c r="U68" i="13"/>
  <c r="H69" i="13"/>
  <c r="I69" i="13"/>
  <c r="L69" i="13"/>
  <c r="M69" i="13"/>
  <c r="N69" i="13"/>
  <c r="R69" i="13" s="1"/>
  <c r="O69" i="13"/>
  <c r="P69" i="13"/>
  <c r="Q69" i="13"/>
  <c r="U69" i="13"/>
  <c r="H70" i="13"/>
  <c r="I70" i="13"/>
  <c r="L70" i="13"/>
  <c r="M70" i="13"/>
  <c r="N70" i="13"/>
  <c r="T70" i="13" s="1"/>
  <c r="O70" i="13"/>
  <c r="P70" i="13"/>
  <c r="Q70" i="13"/>
  <c r="U70" i="13"/>
  <c r="H71" i="13"/>
  <c r="L71" i="13" s="1"/>
  <c r="I71" i="13"/>
  <c r="M71" i="13"/>
  <c r="N71" i="13"/>
  <c r="S71" i="13" s="1"/>
  <c r="O71" i="13"/>
  <c r="P71" i="13"/>
  <c r="Q71" i="13"/>
  <c r="U71" i="13"/>
  <c r="H72" i="13"/>
  <c r="L72" i="13" s="1"/>
  <c r="I72" i="13"/>
  <c r="M72" i="13"/>
  <c r="N72" i="13"/>
  <c r="R72" i="13" s="1"/>
  <c r="O72" i="13"/>
  <c r="P72" i="13"/>
  <c r="Q72" i="13"/>
  <c r="U72" i="13"/>
  <c r="H73" i="13"/>
  <c r="I73" i="13"/>
  <c r="L73" i="13"/>
  <c r="M73" i="13"/>
  <c r="N73" i="13"/>
  <c r="T73" i="13" s="1"/>
  <c r="O73" i="13"/>
  <c r="P73" i="13"/>
  <c r="Q73" i="13"/>
  <c r="U73" i="13"/>
  <c r="H74" i="13"/>
  <c r="I74" i="13"/>
  <c r="L74" i="13"/>
  <c r="M74" i="13"/>
  <c r="N74" i="13"/>
  <c r="S74" i="13" s="1"/>
  <c r="O74" i="13"/>
  <c r="P74" i="13"/>
  <c r="Q74" i="13"/>
  <c r="U74" i="13"/>
  <c r="H75" i="13"/>
  <c r="L75" i="13" s="1"/>
  <c r="I75" i="13"/>
  <c r="M75" i="13"/>
  <c r="N75" i="13"/>
  <c r="S75" i="13" s="1"/>
  <c r="O75" i="13"/>
  <c r="P75" i="13"/>
  <c r="Q75" i="13"/>
  <c r="U75" i="13"/>
  <c r="H76" i="13"/>
  <c r="L76" i="13" s="1"/>
  <c r="I76" i="13"/>
  <c r="M76" i="13"/>
  <c r="N76" i="13"/>
  <c r="S76" i="13" s="1"/>
  <c r="O76" i="13"/>
  <c r="P76" i="13"/>
  <c r="Q76" i="13"/>
  <c r="U76" i="13"/>
  <c r="H77" i="13"/>
  <c r="I77" i="13"/>
  <c r="L77" i="13"/>
  <c r="M77" i="13"/>
  <c r="N77" i="13"/>
  <c r="R77" i="13" s="1"/>
  <c r="O77" i="13"/>
  <c r="P77" i="13"/>
  <c r="Q77" i="13"/>
  <c r="U77" i="13"/>
  <c r="H78" i="13"/>
  <c r="I78" i="13"/>
  <c r="L78" i="13"/>
  <c r="M78" i="13"/>
  <c r="N78" i="13"/>
  <c r="R78" i="13" s="1"/>
  <c r="O78" i="13"/>
  <c r="P78" i="13"/>
  <c r="Q78" i="13"/>
  <c r="U78" i="13"/>
  <c r="H79" i="13"/>
  <c r="L79" i="13" s="1"/>
  <c r="I79" i="13"/>
  <c r="M79" i="13"/>
  <c r="N79" i="13"/>
  <c r="R79" i="13" s="1"/>
  <c r="O79" i="13"/>
  <c r="P79" i="13"/>
  <c r="Q79" i="13"/>
  <c r="U79" i="13"/>
  <c r="H80" i="13"/>
  <c r="L80" i="13" s="1"/>
  <c r="I80" i="13"/>
  <c r="M80" i="13"/>
  <c r="N80" i="13"/>
  <c r="T80" i="13" s="1"/>
  <c r="O80" i="13"/>
  <c r="P80" i="13"/>
  <c r="Q80" i="13"/>
  <c r="U80" i="13"/>
  <c r="H81" i="13"/>
  <c r="I81" i="13"/>
  <c r="L81" i="13"/>
  <c r="M81" i="13"/>
  <c r="N81" i="13"/>
  <c r="S81" i="13" s="1"/>
  <c r="O81" i="13"/>
  <c r="P81" i="13"/>
  <c r="Q81" i="13"/>
  <c r="U81" i="13"/>
  <c r="H82" i="13"/>
  <c r="I82" i="13"/>
  <c r="L82" i="13"/>
  <c r="M82" i="13"/>
  <c r="N82" i="13"/>
  <c r="R82" i="13" s="1"/>
  <c r="O82" i="13"/>
  <c r="P82" i="13"/>
  <c r="Q82" i="13"/>
  <c r="U82" i="13"/>
  <c r="H83" i="13"/>
  <c r="L83" i="13" s="1"/>
  <c r="I83" i="13"/>
  <c r="M83" i="13"/>
  <c r="N83" i="13"/>
  <c r="T83" i="13" s="1"/>
  <c r="O83" i="13"/>
  <c r="P83" i="13"/>
  <c r="Q83" i="13"/>
  <c r="U83" i="13"/>
  <c r="H84" i="13"/>
  <c r="L84" i="13" s="1"/>
  <c r="I84" i="13"/>
  <c r="M84" i="13"/>
  <c r="N84" i="13"/>
  <c r="T84" i="13" s="1"/>
  <c r="O84" i="13"/>
  <c r="P84" i="13"/>
  <c r="Q84" i="13"/>
  <c r="U84" i="13"/>
  <c r="H85" i="13"/>
  <c r="I85" i="13"/>
  <c r="L85" i="13"/>
  <c r="M85" i="13"/>
  <c r="N85" i="13"/>
  <c r="S85" i="13" s="1"/>
  <c r="O85" i="13"/>
  <c r="P85" i="13"/>
  <c r="Q85" i="13"/>
  <c r="U85" i="13"/>
  <c r="H86" i="13"/>
  <c r="I86" i="13"/>
  <c r="L86" i="13"/>
  <c r="M86" i="13"/>
  <c r="N86" i="13"/>
  <c r="R86" i="13" s="1"/>
  <c r="O86" i="13"/>
  <c r="P86" i="13"/>
  <c r="Q86" i="13"/>
  <c r="U86" i="13"/>
  <c r="H87" i="13"/>
  <c r="L87" i="13" s="1"/>
  <c r="I87" i="13"/>
  <c r="M87" i="13"/>
  <c r="N87" i="13"/>
  <c r="S87" i="13" s="1"/>
  <c r="O87" i="13"/>
  <c r="P87" i="13"/>
  <c r="Q87" i="13"/>
  <c r="U87" i="13"/>
  <c r="H88" i="13"/>
  <c r="L88" i="13" s="1"/>
  <c r="I88" i="13"/>
  <c r="M88" i="13"/>
  <c r="N88" i="13"/>
  <c r="T88" i="13" s="1"/>
  <c r="O88" i="13"/>
  <c r="P88" i="13"/>
  <c r="Q88" i="13"/>
  <c r="U88" i="13"/>
  <c r="H89" i="13"/>
  <c r="I89" i="13"/>
  <c r="L89" i="13"/>
  <c r="M89" i="13"/>
  <c r="N89" i="13"/>
  <c r="R89" i="13" s="1"/>
  <c r="O89" i="13"/>
  <c r="P89" i="13"/>
  <c r="Q89" i="13"/>
  <c r="U89" i="13"/>
  <c r="H90" i="13"/>
  <c r="I90" i="13"/>
  <c r="L90" i="13"/>
  <c r="M90" i="13"/>
  <c r="N90" i="13"/>
  <c r="S90" i="13" s="1"/>
  <c r="O90" i="13"/>
  <c r="P90" i="13"/>
  <c r="Q90" i="13"/>
  <c r="U90" i="13"/>
  <c r="H91" i="13"/>
  <c r="L91" i="13" s="1"/>
  <c r="I91" i="13"/>
  <c r="M91" i="13"/>
  <c r="N91" i="13"/>
  <c r="S91" i="13" s="1"/>
  <c r="O91" i="13"/>
  <c r="P91" i="13"/>
  <c r="Q91" i="13"/>
  <c r="U91" i="13"/>
  <c r="H92" i="13"/>
  <c r="L92" i="13" s="1"/>
  <c r="I92" i="13"/>
  <c r="M92" i="13"/>
  <c r="N92" i="13"/>
  <c r="S92" i="13" s="1"/>
  <c r="O92" i="13"/>
  <c r="P92" i="13"/>
  <c r="Q92" i="13"/>
  <c r="U92" i="13"/>
  <c r="H93" i="13"/>
  <c r="I93" i="13"/>
  <c r="L93" i="13"/>
  <c r="M93" i="13"/>
  <c r="N93" i="13"/>
  <c r="R93" i="13" s="1"/>
  <c r="O93" i="13"/>
  <c r="P93" i="13"/>
  <c r="Q93" i="13"/>
  <c r="U93" i="13"/>
  <c r="H94" i="13"/>
  <c r="I94" i="13"/>
  <c r="L94" i="13"/>
  <c r="M94" i="13"/>
  <c r="N94" i="13"/>
  <c r="R94" i="13" s="1"/>
  <c r="O94" i="13"/>
  <c r="P94" i="13"/>
  <c r="Q94" i="13"/>
  <c r="U94" i="13"/>
  <c r="H95" i="13"/>
  <c r="L95" i="13" s="1"/>
  <c r="I95" i="13"/>
  <c r="M95" i="13"/>
  <c r="N95" i="13"/>
  <c r="T95" i="13" s="1"/>
  <c r="O95" i="13"/>
  <c r="P95" i="13"/>
  <c r="Q95" i="13"/>
  <c r="U95" i="13"/>
  <c r="H96" i="13"/>
  <c r="L96" i="13" s="1"/>
  <c r="I96" i="13"/>
  <c r="M96" i="13"/>
  <c r="N96" i="13"/>
  <c r="S96" i="13" s="1"/>
  <c r="O96" i="13"/>
  <c r="P96" i="13"/>
  <c r="Q96" i="13"/>
  <c r="U96" i="13"/>
  <c r="H97" i="13"/>
  <c r="I97" i="13"/>
  <c r="L97" i="13"/>
  <c r="M97" i="13"/>
  <c r="N97" i="13"/>
  <c r="S97" i="13" s="1"/>
  <c r="O97" i="13"/>
  <c r="P97" i="13"/>
  <c r="Q97" i="13"/>
  <c r="U97" i="13"/>
  <c r="H98" i="13"/>
  <c r="I98" i="13"/>
  <c r="L98" i="13"/>
  <c r="M98" i="13"/>
  <c r="N98" i="13"/>
  <c r="R98" i="13" s="1"/>
  <c r="O98" i="13"/>
  <c r="P98" i="13"/>
  <c r="Q98" i="13"/>
  <c r="U98" i="13"/>
  <c r="H99" i="13"/>
  <c r="L99" i="13" s="1"/>
  <c r="I99" i="13"/>
  <c r="M99" i="13"/>
  <c r="N99" i="13"/>
  <c r="T99" i="13" s="1"/>
  <c r="O99" i="13"/>
  <c r="P99" i="13"/>
  <c r="Q99" i="13"/>
  <c r="U99" i="13"/>
  <c r="H100" i="13"/>
  <c r="L100" i="13" s="1"/>
  <c r="I100" i="13"/>
  <c r="M100" i="13"/>
  <c r="N100" i="13"/>
  <c r="S100" i="13" s="1"/>
  <c r="O100" i="13"/>
  <c r="P100" i="13"/>
  <c r="Q100" i="13"/>
  <c r="U100" i="13"/>
  <c r="H101" i="13"/>
  <c r="I101" i="13"/>
  <c r="L101" i="13"/>
  <c r="M101" i="13"/>
  <c r="N101" i="13"/>
  <c r="T101" i="13" s="1"/>
  <c r="O101" i="13"/>
  <c r="P101" i="13"/>
  <c r="Q101" i="13"/>
  <c r="U101" i="13"/>
  <c r="H102" i="13"/>
  <c r="I102" i="13"/>
  <c r="L102" i="13"/>
  <c r="M102" i="13"/>
  <c r="N102" i="13"/>
  <c r="S102" i="13" s="1"/>
  <c r="O102" i="13"/>
  <c r="P102" i="13"/>
  <c r="Q102" i="13"/>
  <c r="U102" i="13"/>
  <c r="H103" i="13"/>
  <c r="L103" i="13" s="1"/>
  <c r="I103" i="13"/>
  <c r="M103" i="13"/>
  <c r="N103" i="13"/>
  <c r="R103" i="13" s="1"/>
  <c r="O103" i="13"/>
  <c r="P103" i="13"/>
  <c r="Q103" i="13"/>
  <c r="U103" i="13"/>
  <c r="H104" i="13"/>
  <c r="L104" i="13" s="1"/>
  <c r="I104" i="13"/>
  <c r="M104" i="13"/>
  <c r="N104" i="13"/>
  <c r="R104" i="13" s="1"/>
  <c r="O104" i="13"/>
  <c r="P104" i="13"/>
  <c r="Q104" i="13"/>
  <c r="U104" i="13"/>
  <c r="H105" i="13"/>
  <c r="I105" i="13"/>
  <c r="L105" i="13"/>
  <c r="M105" i="13"/>
  <c r="N105" i="13"/>
  <c r="T105" i="13" s="1"/>
  <c r="O105" i="13"/>
  <c r="P105" i="13"/>
  <c r="Q105" i="13"/>
  <c r="U105" i="13"/>
  <c r="H106" i="13"/>
  <c r="I106" i="13"/>
  <c r="L106" i="13"/>
  <c r="M106" i="13"/>
  <c r="N106" i="13"/>
  <c r="R106" i="13" s="1"/>
  <c r="O106" i="13"/>
  <c r="P106" i="13"/>
  <c r="Q106" i="13"/>
  <c r="U106" i="13"/>
  <c r="H107" i="13"/>
  <c r="L107" i="13" s="1"/>
  <c r="I107" i="13"/>
  <c r="M107" i="13"/>
  <c r="N107" i="13"/>
  <c r="S107" i="13" s="1"/>
  <c r="O107" i="13"/>
  <c r="P107" i="13"/>
  <c r="Q107" i="13"/>
  <c r="U107" i="13"/>
  <c r="H108" i="13"/>
  <c r="L108" i="13" s="1"/>
  <c r="I108" i="13"/>
  <c r="M108" i="13"/>
  <c r="N108" i="13"/>
  <c r="T108" i="13" s="1"/>
  <c r="O108" i="13"/>
  <c r="P108" i="13"/>
  <c r="Q108" i="13"/>
  <c r="U108" i="13"/>
  <c r="H109" i="13"/>
  <c r="I109" i="13"/>
  <c r="L109" i="13"/>
  <c r="M109" i="13"/>
  <c r="N109" i="13"/>
  <c r="R109" i="13" s="1"/>
  <c r="O109" i="13"/>
  <c r="P109" i="13"/>
  <c r="Q109" i="13"/>
  <c r="U109" i="13"/>
  <c r="H110" i="13"/>
  <c r="I110" i="13"/>
  <c r="L110" i="13"/>
  <c r="M110" i="13"/>
  <c r="N110" i="13"/>
  <c r="S110" i="13" s="1"/>
  <c r="O110" i="13"/>
  <c r="P110" i="13"/>
  <c r="Q110" i="13"/>
  <c r="U110" i="13"/>
  <c r="H111" i="13"/>
  <c r="L111" i="13" s="1"/>
  <c r="I111" i="13"/>
  <c r="M111" i="13"/>
  <c r="N111" i="13"/>
  <c r="R111" i="13" s="1"/>
  <c r="O111" i="13"/>
  <c r="P111" i="13"/>
  <c r="Q111" i="13"/>
  <c r="U111" i="13"/>
  <c r="H112" i="13"/>
  <c r="L112" i="13" s="1"/>
  <c r="I112" i="13"/>
  <c r="M112" i="13"/>
  <c r="N112" i="13"/>
  <c r="R112" i="13" s="1"/>
  <c r="O112" i="13"/>
  <c r="P112" i="13"/>
  <c r="Q112" i="13"/>
  <c r="U112" i="13"/>
  <c r="H113" i="13"/>
  <c r="I113" i="13"/>
  <c r="L113" i="13"/>
  <c r="M113" i="13"/>
  <c r="N113" i="13"/>
  <c r="R113" i="13" s="1"/>
  <c r="O113" i="13"/>
  <c r="P113" i="13"/>
  <c r="Q113" i="13"/>
  <c r="U113" i="13"/>
  <c r="H114" i="13"/>
  <c r="I114" i="13"/>
  <c r="L114" i="13"/>
  <c r="M114" i="13"/>
  <c r="N114" i="13"/>
  <c r="T114" i="13" s="1"/>
  <c r="O114" i="13"/>
  <c r="P114" i="13"/>
  <c r="Q114" i="13"/>
  <c r="U114" i="13"/>
  <c r="H115" i="13"/>
  <c r="L115" i="13" s="1"/>
  <c r="I115" i="13"/>
  <c r="M115" i="13"/>
  <c r="N115" i="13"/>
  <c r="R115" i="13" s="1"/>
  <c r="O115" i="13"/>
  <c r="P115" i="13"/>
  <c r="Q115" i="13"/>
  <c r="U115" i="13"/>
  <c r="H116" i="13"/>
  <c r="L116" i="13" s="1"/>
  <c r="I116" i="13"/>
  <c r="M116" i="13"/>
  <c r="N116" i="13"/>
  <c r="S116" i="13" s="1"/>
  <c r="O116" i="13"/>
  <c r="P116" i="13"/>
  <c r="Q116" i="13"/>
  <c r="U116" i="13"/>
  <c r="H117" i="13"/>
  <c r="I117" i="13"/>
  <c r="L117" i="13"/>
  <c r="M117" i="13"/>
  <c r="N117" i="13"/>
  <c r="R117" i="13" s="1"/>
  <c r="O117" i="13"/>
  <c r="P117" i="13"/>
  <c r="Q117" i="13"/>
  <c r="U117" i="13"/>
  <c r="H118" i="13"/>
  <c r="I118" i="13"/>
  <c r="L118" i="13"/>
  <c r="M118" i="13"/>
  <c r="N118" i="13"/>
  <c r="R118" i="13" s="1"/>
  <c r="O118" i="13"/>
  <c r="P118" i="13"/>
  <c r="Q118" i="13"/>
  <c r="U118" i="13"/>
  <c r="H119" i="13"/>
  <c r="L119" i="13" s="1"/>
  <c r="I119" i="13"/>
  <c r="M119" i="13"/>
  <c r="N119" i="13"/>
  <c r="R119" i="13" s="1"/>
  <c r="O119" i="13"/>
  <c r="P119" i="13"/>
  <c r="Q119" i="13"/>
  <c r="U119" i="13"/>
  <c r="H120" i="13"/>
  <c r="L120" i="13" s="1"/>
  <c r="I120" i="13"/>
  <c r="M120" i="13"/>
  <c r="N120" i="13"/>
  <c r="S120" i="13" s="1"/>
  <c r="O120" i="13"/>
  <c r="P120" i="13"/>
  <c r="Q120" i="13"/>
  <c r="U120" i="13"/>
  <c r="H121" i="13"/>
  <c r="I121" i="13"/>
  <c r="L121" i="13"/>
  <c r="M121" i="13"/>
  <c r="N121" i="13"/>
  <c r="S121" i="13" s="1"/>
  <c r="O121" i="13"/>
  <c r="P121" i="13"/>
  <c r="Q121" i="13"/>
  <c r="U121" i="13"/>
  <c r="H122" i="13"/>
  <c r="I122" i="13"/>
  <c r="L122" i="13"/>
  <c r="M122" i="13"/>
  <c r="N122" i="13"/>
  <c r="S122" i="13" s="1"/>
  <c r="O122" i="13"/>
  <c r="P122" i="13"/>
  <c r="Q122" i="13"/>
  <c r="U122" i="13"/>
  <c r="H123" i="13"/>
  <c r="L123" i="13" s="1"/>
  <c r="I123" i="13"/>
  <c r="M123" i="13"/>
  <c r="N123" i="13"/>
  <c r="T123" i="13" s="1"/>
  <c r="O123" i="13"/>
  <c r="P123" i="13"/>
  <c r="Q123" i="13"/>
  <c r="U123" i="13"/>
  <c r="H124" i="13"/>
  <c r="L124" i="13" s="1"/>
  <c r="I124" i="13"/>
  <c r="M124" i="13"/>
  <c r="N124" i="13"/>
  <c r="S124" i="13" s="1"/>
  <c r="O124" i="13"/>
  <c r="P124" i="13"/>
  <c r="Q124" i="13"/>
  <c r="U124" i="13"/>
  <c r="H125" i="13"/>
  <c r="I125" i="13"/>
  <c r="L125" i="13"/>
  <c r="M125" i="13"/>
  <c r="N125" i="13"/>
  <c r="T125" i="13" s="1"/>
  <c r="O125" i="13"/>
  <c r="P125" i="13"/>
  <c r="Q125" i="13"/>
  <c r="U125" i="13"/>
  <c r="H126" i="13"/>
  <c r="I126" i="13"/>
  <c r="L126" i="13"/>
  <c r="M126" i="13"/>
  <c r="N126" i="13"/>
  <c r="T126" i="13" s="1"/>
  <c r="O126" i="13"/>
  <c r="P126" i="13"/>
  <c r="Q126" i="13"/>
  <c r="U126" i="13"/>
  <c r="H127" i="13"/>
  <c r="L127" i="13" s="1"/>
  <c r="I127" i="13"/>
  <c r="M127" i="13"/>
  <c r="N127" i="13"/>
  <c r="R127" i="13" s="1"/>
  <c r="O127" i="13"/>
  <c r="P127" i="13"/>
  <c r="Q127" i="13"/>
  <c r="U127" i="13"/>
  <c r="H128" i="13"/>
  <c r="L128" i="13" s="1"/>
  <c r="I128" i="13"/>
  <c r="M128" i="13"/>
  <c r="N128" i="13"/>
  <c r="R128" i="13" s="1"/>
  <c r="O128" i="13"/>
  <c r="P128" i="13"/>
  <c r="Q128" i="13"/>
  <c r="U128" i="13"/>
  <c r="H129" i="13"/>
  <c r="I129" i="13"/>
  <c r="L129" i="13"/>
  <c r="M129" i="13"/>
  <c r="N129" i="13"/>
  <c r="S129" i="13" s="1"/>
  <c r="O129" i="13"/>
  <c r="P129" i="13"/>
  <c r="Q129" i="13"/>
  <c r="U129" i="13"/>
  <c r="H130" i="13"/>
  <c r="I130" i="13"/>
  <c r="L130" i="13"/>
  <c r="M130" i="13"/>
  <c r="N130" i="13"/>
  <c r="R130" i="13" s="1"/>
  <c r="O130" i="13"/>
  <c r="P130" i="13"/>
  <c r="Q130" i="13"/>
  <c r="U130" i="13"/>
  <c r="H131" i="13"/>
  <c r="L131" i="13" s="1"/>
  <c r="I131" i="13"/>
  <c r="M131" i="13"/>
  <c r="N131" i="13"/>
  <c r="R131" i="13" s="1"/>
  <c r="O131" i="13"/>
  <c r="P131" i="13"/>
  <c r="Q131" i="13"/>
  <c r="U131" i="13"/>
  <c r="H132" i="13"/>
  <c r="L132" i="13" s="1"/>
  <c r="I132" i="13"/>
  <c r="M132" i="13"/>
  <c r="N132" i="13"/>
  <c r="S132" i="13" s="1"/>
  <c r="O132" i="13"/>
  <c r="P132" i="13"/>
  <c r="Q132" i="13"/>
  <c r="U132" i="13"/>
  <c r="H133" i="13"/>
  <c r="I133" i="13"/>
  <c r="L133" i="13"/>
  <c r="M133" i="13"/>
  <c r="N133" i="13"/>
  <c r="R133" i="13" s="1"/>
  <c r="O133" i="13"/>
  <c r="P133" i="13"/>
  <c r="Q133" i="13"/>
  <c r="U133" i="13"/>
  <c r="H134" i="13"/>
  <c r="I134" i="13"/>
  <c r="L134" i="13"/>
  <c r="M134" i="13"/>
  <c r="N134" i="13"/>
  <c r="T134" i="13" s="1"/>
  <c r="O134" i="13"/>
  <c r="P134" i="13"/>
  <c r="Q134" i="13"/>
  <c r="U134" i="13"/>
  <c r="H135" i="13"/>
  <c r="L135" i="13" s="1"/>
  <c r="I135" i="13"/>
  <c r="M135" i="13"/>
  <c r="N135" i="13"/>
  <c r="R135" i="13" s="1"/>
  <c r="O135" i="13"/>
  <c r="P135" i="13"/>
  <c r="Q135" i="13"/>
  <c r="U135" i="13"/>
  <c r="H136" i="13"/>
  <c r="L136" i="13" s="1"/>
  <c r="I136" i="13"/>
  <c r="M136" i="13"/>
  <c r="N136" i="13"/>
  <c r="S136" i="13" s="1"/>
  <c r="O136" i="13"/>
  <c r="P136" i="13"/>
  <c r="Q136" i="13"/>
  <c r="U136" i="13"/>
  <c r="H137" i="13"/>
  <c r="I137" i="13"/>
  <c r="L137" i="13"/>
  <c r="M137" i="13"/>
  <c r="N137" i="13"/>
  <c r="R137" i="13" s="1"/>
  <c r="O137" i="13"/>
  <c r="P137" i="13"/>
  <c r="Q137" i="13"/>
  <c r="U137" i="13"/>
  <c r="H138" i="13"/>
  <c r="I138" i="13"/>
  <c r="L138" i="13"/>
  <c r="M138" i="13"/>
  <c r="N138" i="13"/>
  <c r="R138" i="13" s="1"/>
  <c r="O138" i="13"/>
  <c r="P138" i="13"/>
  <c r="Q138" i="13"/>
  <c r="U138" i="13"/>
  <c r="H139" i="13"/>
  <c r="L139" i="13" s="1"/>
  <c r="I139" i="13"/>
  <c r="M139" i="13"/>
  <c r="N139" i="13"/>
  <c r="S139" i="13" s="1"/>
  <c r="O139" i="13"/>
  <c r="P139" i="13"/>
  <c r="Q139" i="13"/>
  <c r="U139" i="13"/>
  <c r="H140" i="13"/>
  <c r="L140" i="13" s="1"/>
  <c r="I140" i="13"/>
  <c r="M140" i="13"/>
  <c r="N140" i="13"/>
  <c r="S140" i="13" s="1"/>
  <c r="O140" i="13"/>
  <c r="P140" i="13"/>
  <c r="Q140" i="13"/>
  <c r="U140" i="13"/>
  <c r="H141" i="13"/>
  <c r="I141" i="13"/>
  <c r="L141" i="13"/>
  <c r="M141" i="13"/>
  <c r="N141" i="13"/>
  <c r="R141" i="13" s="1"/>
  <c r="O141" i="13"/>
  <c r="P141" i="13"/>
  <c r="Q141" i="13"/>
  <c r="U141" i="13"/>
  <c r="H142" i="13"/>
  <c r="I142" i="13"/>
  <c r="L142" i="13"/>
  <c r="M142" i="13"/>
  <c r="N142" i="13"/>
  <c r="T142" i="13" s="1"/>
  <c r="O142" i="13"/>
  <c r="P142" i="13"/>
  <c r="Q142" i="13"/>
  <c r="U142" i="13"/>
  <c r="H143" i="13"/>
  <c r="L143" i="13" s="1"/>
  <c r="I143" i="13"/>
  <c r="M143" i="13"/>
  <c r="N143" i="13"/>
  <c r="T143" i="13" s="1"/>
  <c r="O143" i="13"/>
  <c r="P143" i="13"/>
  <c r="Q143" i="13"/>
  <c r="U143" i="13"/>
  <c r="H144" i="13"/>
  <c r="L144" i="13" s="1"/>
  <c r="I144" i="13"/>
  <c r="M144" i="13"/>
  <c r="N144" i="13"/>
  <c r="T144" i="13" s="1"/>
  <c r="O144" i="13"/>
  <c r="P144" i="13"/>
  <c r="Q144" i="13"/>
  <c r="U144" i="13"/>
  <c r="H145" i="13"/>
  <c r="I145" i="13"/>
  <c r="L145" i="13"/>
  <c r="M145" i="13"/>
  <c r="N145" i="13"/>
  <c r="R145" i="13" s="1"/>
  <c r="O145" i="13"/>
  <c r="P145" i="13"/>
  <c r="Q145" i="13"/>
  <c r="U145" i="13"/>
  <c r="H146" i="13"/>
  <c r="I146" i="13"/>
  <c r="L146" i="13"/>
  <c r="M146" i="13"/>
  <c r="N146" i="13"/>
  <c r="T146" i="13" s="1"/>
  <c r="O146" i="13"/>
  <c r="P146" i="13"/>
  <c r="Q146" i="13"/>
  <c r="U146" i="13"/>
  <c r="H147" i="13"/>
  <c r="L147" i="13" s="1"/>
  <c r="I147" i="13"/>
  <c r="M147" i="13"/>
  <c r="N147" i="13"/>
  <c r="T147" i="13" s="1"/>
  <c r="O147" i="13"/>
  <c r="P147" i="13"/>
  <c r="Q147" i="13"/>
  <c r="U147" i="13"/>
  <c r="H148" i="13"/>
  <c r="L148" i="13" s="1"/>
  <c r="I148" i="13"/>
  <c r="M148" i="13"/>
  <c r="N148" i="13"/>
  <c r="S148" i="13" s="1"/>
  <c r="O148" i="13"/>
  <c r="P148" i="13"/>
  <c r="Q148" i="13"/>
  <c r="U148" i="13"/>
  <c r="H149" i="13"/>
  <c r="I149" i="13"/>
  <c r="L149" i="13"/>
  <c r="M149" i="13"/>
  <c r="N149" i="13"/>
  <c r="S149" i="13" s="1"/>
  <c r="O149" i="13"/>
  <c r="P149" i="13"/>
  <c r="Q149" i="13"/>
  <c r="U149" i="13"/>
  <c r="H150" i="13"/>
  <c r="I150" i="13"/>
  <c r="L150" i="13"/>
  <c r="M150" i="13"/>
  <c r="N150" i="13"/>
  <c r="S150" i="13" s="1"/>
  <c r="O150" i="13"/>
  <c r="P150" i="13"/>
  <c r="Q150" i="13"/>
  <c r="U150" i="13"/>
  <c r="H151" i="13"/>
  <c r="L151" i="13" s="1"/>
  <c r="I151" i="13"/>
  <c r="M151" i="13"/>
  <c r="N151" i="13"/>
  <c r="R151" i="13" s="1"/>
  <c r="O151" i="13"/>
  <c r="P151" i="13"/>
  <c r="Q151" i="13"/>
  <c r="U151" i="13"/>
  <c r="H152" i="13"/>
  <c r="L152" i="13" s="1"/>
  <c r="I152" i="13"/>
  <c r="M152" i="13"/>
  <c r="N152" i="13"/>
  <c r="S152" i="13" s="1"/>
  <c r="O152" i="13"/>
  <c r="P152" i="13"/>
  <c r="Q152" i="13"/>
  <c r="U152" i="13"/>
  <c r="H153" i="13"/>
  <c r="I153" i="13"/>
  <c r="L153" i="13"/>
  <c r="M153" i="13"/>
  <c r="N153" i="13"/>
  <c r="S153" i="13" s="1"/>
  <c r="O153" i="13"/>
  <c r="P153" i="13"/>
  <c r="Q153" i="13"/>
  <c r="U153" i="13"/>
  <c r="H154" i="13"/>
  <c r="I154" i="13"/>
  <c r="L154" i="13"/>
  <c r="M154" i="13"/>
  <c r="N154" i="13"/>
  <c r="S154" i="13" s="1"/>
  <c r="O154" i="13"/>
  <c r="P154" i="13"/>
  <c r="Q154" i="13"/>
  <c r="U154" i="13"/>
  <c r="H155" i="13"/>
  <c r="L155" i="13" s="1"/>
  <c r="I155" i="13"/>
  <c r="M155" i="13"/>
  <c r="N155" i="13"/>
  <c r="R155" i="13" s="1"/>
  <c r="O155" i="13"/>
  <c r="P155" i="13"/>
  <c r="Q155" i="13"/>
  <c r="U155" i="13"/>
  <c r="H156" i="13"/>
  <c r="L156" i="13" s="1"/>
  <c r="I156" i="13"/>
  <c r="M156" i="13"/>
  <c r="N156" i="13"/>
  <c r="T156" i="13" s="1"/>
  <c r="O156" i="13"/>
  <c r="P156" i="13"/>
  <c r="Q156" i="13"/>
  <c r="U156" i="13"/>
  <c r="H157" i="13"/>
  <c r="I157" i="13"/>
  <c r="L157" i="13"/>
  <c r="M157" i="13"/>
  <c r="N157" i="13"/>
  <c r="T157" i="13" s="1"/>
  <c r="O157" i="13"/>
  <c r="P157" i="13"/>
  <c r="Q157" i="13"/>
  <c r="U157" i="13"/>
  <c r="H158" i="13"/>
  <c r="I158" i="13"/>
  <c r="L158" i="13"/>
  <c r="M158" i="13"/>
  <c r="N158" i="13"/>
  <c r="T158" i="13" s="1"/>
  <c r="O158" i="13"/>
  <c r="P158" i="13"/>
  <c r="Q158" i="13"/>
  <c r="U158" i="13"/>
  <c r="H159" i="13"/>
  <c r="L159" i="13" s="1"/>
  <c r="I159" i="13"/>
  <c r="M159" i="13"/>
  <c r="N159" i="13"/>
  <c r="T159" i="13" s="1"/>
  <c r="O159" i="13"/>
  <c r="P159" i="13"/>
  <c r="Q159" i="13"/>
  <c r="U159" i="13"/>
  <c r="H160" i="13"/>
  <c r="L160" i="13" s="1"/>
  <c r="I160" i="13"/>
  <c r="M160" i="13"/>
  <c r="N160" i="13"/>
  <c r="T160" i="13" s="1"/>
  <c r="O160" i="13"/>
  <c r="P160" i="13"/>
  <c r="Q160" i="13"/>
  <c r="U160" i="13"/>
  <c r="H161" i="13"/>
  <c r="I161" i="13"/>
  <c r="L161" i="13"/>
  <c r="M161" i="13"/>
  <c r="N161" i="13"/>
  <c r="R161" i="13" s="1"/>
  <c r="O161" i="13"/>
  <c r="P161" i="13"/>
  <c r="Q161" i="13"/>
  <c r="U161" i="13"/>
  <c r="H162" i="13"/>
  <c r="I162" i="13"/>
  <c r="L162" i="13"/>
  <c r="M162" i="13"/>
  <c r="N162" i="13"/>
  <c r="T162" i="13" s="1"/>
  <c r="O162" i="13"/>
  <c r="P162" i="13"/>
  <c r="Q162" i="13"/>
  <c r="U162" i="13"/>
  <c r="H163" i="13"/>
  <c r="L163" i="13" s="1"/>
  <c r="I163" i="13"/>
  <c r="M163" i="13"/>
  <c r="N163" i="13"/>
  <c r="T163" i="13" s="1"/>
  <c r="O163" i="13"/>
  <c r="P163" i="13"/>
  <c r="Q163" i="13"/>
  <c r="U163" i="13"/>
  <c r="H164" i="13"/>
  <c r="L164" i="13" s="1"/>
  <c r="I164" i="13"/>
  <c r="M164" i="13"/>
  <c r="N164" i="13"/>
  <c r="R164" i="13" s="1"/>
  <c r="O164" i="13"/>
  <c r="P164" i="13"/>
  <c r="Q164" i="13"/>
  <c r="U164" i="13"/>
  <c r="H165" i="13"/>
  <c r="I165" i="13"/>
  <c r="L165" i="13"/>
  <c r="M165" i="13"/>
  <c r="N165" i="13"/>
  <c r="R165" i="13" s="1"/>
  <c r="O165" i="13"/>
  <c r="P165" i="13"/>
  <c r="Q165" i="13"/>
  <c r="U165" i="13"/>
  <c r="H166" i="13"/>
  <c r="I166" i="13"/>
  <c r="L166" i="13"/>
  <c r="M166" i="13"/>
  <c r="N166" i="13"/>
  <c r="R166" i="13" s="1"/>
  <c r="O166" i="13"/>
  <c r="P166" i="13"/>
  <c r="Q166" i="13"/>
  <c r="U166" i="13"/>
  <c r="H167" i="13"/>
  <c r="L167" i="13" s="1"/>
  <c r="I167" i="13"/>
  <c r="M167" i="13"/>
  <c r="N167" i="13"/>
  <c r="T167" i="13" s="1"/>
  <c r="O167" i="13"/>
  <c r="P167" i="13"/>
  <c r="Q167" i="13"/>
  <c r="U167" i="13"/>
  <c r="H168" i="13"/>
  <c r="L168" i="13" s="1"/>
  <c r="I168" i="13"/>
  <c r="M168" i="13"/>
  <c r="N168" i="13"/>
  <c r="R168" i="13" s="1"/>
  <c r="O168" i="13"/>
  <c r="P168" i="13"/>
  <c r="Q168" i="13"/>
  <c r="U168" i="13"/>
  <c r="H169" i="13"/>
  <c r="I169" i="13"/>
  <c r="L169" i="13"/>
  <c r="M169" i="13"/>
  <c r="N169" i="13"/>
  <c r="T169" i="13" s="1"/>
  <c r="O169" i="13"/>
  <c r="P169" i="13"/>
  <c r="Q169" i="13"/>
  <c r="U169" i="13"/>
  <c r="H170" i="13"/>
  <c r="I170" i="13"/>
  <c r="L170" i="13"/>
  <c r="M170" i="13"/>
  <c r="N170" i="13"/>
  <c r="R170" i="13" s="1"/>
  <c r="O170" i="13"/>
  <c r="P170" i="13"/>
  <c r="Q170" i="13"/>
  <c r="U170" i="13"/>
  <c r="H171" i="13"/>
  <c r="L171" i="13" s="1"/>
  <c r="I171" i="13"/>
  <c r="M171" i="13"/>
  <c r="N171" i="13"/>
  <c r="R171" i="13" s="1"/>
  <c r="O171" i="13"/>
  <c r="P171" i="13"/>
  <c r="Q171" i="13"/>
  <c r="U171" i="13"/>
  <c r="H172" i="13"/>
  <c r="L172" i="13" s="1"/>
  <c r="I172" i="13"/>
  <c r="M172" i="13"/>
  <c r="N172" i="13"/>
  <c r="R172" i="13" s="1"/>
  <c r="O172" i="13"/>
  <c r="P172" i="13"/>
  <c r="Q172" i="13"/>
  <c r="U172" i="13"/>
  <c r="H173" i="13"/>
  <c r="I173" i="13"/>
  <c r="L173" i="13"/>
  <c r="M173" i="13"/>
  <c r="N173" i="13"/>
  <c r="S173" i="13" s="1"/>
  <c r="O173" i="13"/>
  <c r="P173" i="13"/>
  <c r="Q173" i="13"/>
  <c r="U173" i="13"/>
  <c r="H174" i="13"/>
  <c r="I174" i="13"/>
  <c r="L174" i="13" s="1"/>
  <c r="M174" i="13"/>
  <c r="N174" i="13"/>
  <c r="S174" i="13" s="1"/>
  <c r="O174" i="13"/>
  <c r="P174" i="13"/>
  <c r="Q174" i="13"/>
  <c r="U174" i="13"/>
  <c r="H175" i="13"/>
  <c r="L175" i="13" s="1"/>
  <c r="I175" i="13"/>
  <c r="M175" i="13"/>
  <c r="N175" i="13"/>
  <c r="R175" i="13" s="1"/>
  <c r="O175" i="13"/>
  <c r="P175" i="13"/>
  <c r="Q175" i="13"/>
  <c r="U175" i="13"/>
  <c r="H176" i="13"/>
  <c r="L176" i="13" s="1"/>
  <c r="I176" i="13"/>
  <c r="M176" i="13"/>
  <c r="N176" i="13"/>
  <c r="S176" i="13" s="1"/>
  <c r="O176" i="13"/>
  <c r="P176" i="13"/>
  <c r="Q176" i="13"/>
  <c r="U176" i="13"/>
  <c r="H177" i="13"/>
  <c r="I177" i="13"/>
  <c r="L177" i="13"/>
  <c r="M177" i="13"/>
  <c r="N177" i="13"/>
  <c r="T177" i="13" s="1"/>
  <c r="O177" i="13"/>
  <c r="P177" i="13"/>
  <c r="Q177" i="13"/>
  <c r="U177" i="13"/>
  <c r="H178" i="13"/>
  <c r="I178" i="13"/>
  <c r="L178" i="13"/>
  <c r="M178" i="13"/>
  <c r="N178" i="13"/>
  <c r="S178" i="13" s="1"/>
  <c r="O178" i="13"/>
  <c r="P178" i="13"/>
  <c r="Q178" i="13"/>
  <c r="U178" i="13"/>
  <c r="H179" i="13"/>
  <c r="L179" i="13" s="1"/>
  <c r="I179" i="13"/>
  <c r="M179" i="13"/>
  <c r="N179" i="13"/>
  <c r="S179" i="13" s="1"/>
  <c r="O179" i="13"/>
  <c r="P179" i="13"/>
  <c r="Q179" i="13"/>
  <c r="U179" i="13"/>
  <c r="H180" i="13"/>
  <c r="L180" i="13" s="1"/>
  <c r="I180" i="13"/>
  <c r="M180" i="13"/>
  <c r="N180" i="13"/>
  <c r="S180" i="13" s="1"/>
  <c r="O180" i="13"/>
  <c r="P180" i="13"/>
  <c r="Q180" i="13"/>
  <c r="U180" i="13"/>
  <c r="H181" i="13"/>
  <c r="I181" i="13"/>
  <c r="L181" i="13"/>
  <c r="M181" i="13"/>
  <c r="N181" i="13"/>
  <c r="R181" i="13" s="1"/>
  <c r="O181" i="13"/>
  <c r="P181" i="13"/>
  <c r="Q181" i="13"/>
  <c r="U181" i="13"/>
  <c r="H182" i="13"/>
  <c r="I182" i="13"/>
  <c r="L182" i="13"/>
  <c r="M182" i="13"/>
  <c r="N182" i="13"/>
  <c r="S182" i="13" s="1"/>
  <c r="O182" i="13"/>
  <c r="P182" i="13"/>
  <c r="Q182" i="13"/>
  <c r="U182" i="13"/>
  <c r="H183" i="13"/>
  <c r="L183" i="13" s="1"/>
  <c r="I183" i="13"/>
  <c r="M183" i="13"/>
  <c r="N183" i="13"/>
  <c r="T183" i="13" s="1"/>
  <c r="O183" i="13"/>
  <c r="P183" i="13"/>
  <c r="Q183" i="13"/>
  <c r="U183" i="13"/>
  <c r="H184" i="13"/>
  <c r="L184" i="13" s="1"/>
  <c r="I184" i="13"/>
  <c r="M184" i="13"/>
  <c r="N184" i="13"/>
  <c r="T184" i="13" s="1"/>
  <c r="O184" i="13"/>
  <c r="P184" i="13"/>
  <c r="Q184" i="13"/>
  <c r="U184" i="13"/>
  <c r="H185" i="13"/>
  <c r="I185" i="13"/>
  <c r="L185" i="13"/>
  <c r="M185" i="13"/>
  <c r="N185" i="13"/>
  <c r="R185" i="13" s="1"/>
  <c r="O185" i="13"/>
  <c r="P185" i="13"/>
  <c r="Q185" i="13"/>
  <c r="U185" i="13"/>
  <c r="H186" i="13"/>
  <c r="I186" i="13"/>
  <c r="L186" i="13"/>
  <c r="M186" i="13"/>
  <c r="N186" i="13"/>
  <c r="R186" i="13" s="1"/>
  <c r="O186" i="13"/>
  <c r="P186" i="13"/>
  <c r="Q186" i="13"/>
  <c r="U186" i="13"/>
  <c r="H187" i="13"/>
  <c r="L187" i="13" s="1"/>
  <c r="I187" i="13"/>
  <c r="M187" i="13"/>
  <c r="N187" i="13"/>
  <c r="T187" i="13" s="1"/>
  <c r="O187" i="13"/>
  <c r="P187" i="13"/>
  <c r="Q187" i="13"/>
  <c r="U187" i="13"/>
  <c r="H188" i="13"/>
  <c r="L188" i="13" s="1"/>
  <c r="I188" i="13"/>
  <c r="M188" i="13"/>
  <c r="N188" i="13"/>
  <c r="S188" i="13" s="1"/>
  <c r="O188" i="13"/>
  <c r="P188" i="13"/>
  <c r="Q188" i="13"/>
  <c r="U188" i="13"/>
  <c r="H189" i="13"/>
  <c r="I189" i="13"/>
  <c r="L189" i="13"/>
  <c r="M189" i="13"/>
  <c r="N189" i="13"/>
  <c r="S189" i="13" s="1"/>
  <c r="O189" i="13"/>
  <c r="P189" i="13"/>
  <c r="Q189" i="13"/>
  <c r="U189" i="13"/>
  <c r="H190" i="13"/>
  <c r="I190" i="13"/>
  <c r="L190" i="13"/>
  <c r="M190" i="13"/>
  <c r="N190" i="13"/>
  <c r="S190" i="13" s="1"/>
  <c r="O190" i="13"/>
  <c r="P190" i="13"/>
  <c r="Q190" i="13"/>
  <c r="U190" i="13"/>
  <c r="H191" i="13"/>
  <c r="L191" i="13" s="1"/>
  <c r="I191" i="13"/>
  <c r="M191" i="13"/>
  <c r="N191" i="13"/>
  <c r="T191" i="13" s="1"/>
  <c r="O191" i="13"/>
  <c r="P191" i="13"/>
  <c r="Q191" i="13"/>
  <c r="U191" i="13"/>
  <c r="H192" i="13"/>
  <c r="L192" i="13" s="1"/>
  <c r="I192" i="13"/>
  <c r="M192" i="13"/>
  <c r="N192" i="13"/>
  <c r="S192" i="13" s="1"/>
  <c r="O192" i="13"/>
  <c r="P192" i="13"/>
  <c r="Q192" i="13"/>
  <c r="U192" i="13"/>
  <c r="H193" i="13"/>
  <c r="I193" i="13"/>
  <c r="L193" i="13"/>
  <c r="M193" i="13"/>
  <c r="N193" i="13"/>
  <c r="T193" i="13" s="1"/>
  <c r="O193" i="13"/>
  <c r="P193" i="13"/>
  <c r="Q193" i="13"/>
  <c r="U193" i="13"/>
  <c r="H194" i="13"/>
  <c r="I194" i="13"/>
  <c r="L194" i="13"/>
  <c r="M194" i="13"/>
  <c r="N194" i="13"/>
  <c r="T194" i="13" s="1"/>
  <c r="O194" i="13"/>
  <c r="P194" i="13"/>
  <c r="Q194" i="13"/>
  <c r="U194" i="13"/>
  <c r="H195" i="13"/>
  <c r="L195" i="13" s="1"/>
  <c r="I195" i="13"/>
  <c r="M195" i="13"/>
  <c r="N195" i="13"/>
  <c r="S195" i="13" s="1"/>
  <c r="O195" i="13"/>
  <c r="P195" i="13"/>
  <c r="Q195" i="13"/>
  <c r="U195" i="13"/>
  <c r="H196" i="13"/>
  <c r="L196" i="13" s="1"/>
  <c r="I196" i="13"/>
  <c r="M196" i="13"/>
  <c r="N196" i="13"/>
  <c r="T196" i="13" s="1"/>
  <c r="O196" i="13"/>
  <c r="P196" i="13"/>
  <c r="Q196" i="13"/>
  <c r="U196" i="13"/>
  <c r="H197" i="13"/>
  <c r="I197" i="13"/>
  <c r="L197" i="13"/>
  <c r="M197" i="13"/>
  <c r="N197" i="13"/>
  <c r="T197" i="13" s="1"/>
  <c r="O197" i="13"/>
  <c r="P197" i="13"/>
  <c r="Q197" i="13"/>
  <c r="U197" i="13"/>
  <c r="H198" i="13"/>
  <c r="I198" i="13"/>
  <c r="L198" i="13"/>
  <c r="M198" i="13"/>
  <c r="N198" i="13"/>
  <c r="T198" i="13" s="1"/>
  <c r="O198" i="13"/>
  <c r="P198" i="13"/>
  <c r="Q198" i="13"/>
  <c r="U198" i="13"/>
  <c r="H199" i="13"/>
  <c r="L199" i="13" s="1"/>
  <c r="I199" i="13"/>
  <c r="M199" i="13"/>
  <c r="N199" i="13"/>
  <c r="R199" i="13" s="1"/>
  <c r="O199" i="13"/>
  <c r="P199" i="13"/>
  <c r="Q199" i="13"/>
  <c r="U199" i="13"/>
  <c r="H200" i="13"/>
  <c r="L200" i="13" s="1"/>
  <c r="I200" i="13"/>
  <c r="M200" i="13"/>
  <c r="N200" i="13"/>
  <c r="S200" i="13" s="1"/>
  <c r="O200" i="13"/>
  <c r="P200" i="13"/>
  <c r="Q200" i="13"/>
  <c r="U200" i="13"/>
  <c r="H201" i="13"/>
  <c r="I201" i="13"/>
  <c r="L201" i="13"/>
  <c r="M201" i="13"/>
  <c r="N201" i="13"/>
  <c r="R201" i="13" s="1"/>
  <c r="O201" i="13"/>
  <c r="P201" i="13"/>
  <c r="Q201" i="13"/>
  <c r="U201" i="13"/>
  <c r="H202" i="13"/>
  <c r="I202" i="13"/>
  <c r="L202" i="13"/>
  <c r="M202" i="13"/>
  <c r="N202" i="13"/>
  <c r="T202" i="13" s="1"/>
  <c r="O202" i="13"/>
  <c r="P202" i="13"/>
  <c r="Q202" i="13"/>
  <c r="U202" i="13"/>
  <c r="H203" i="13"/>
  <c r="L203" i="13" s="1"/>
  <c r="I203" i="13"/>
  <c r="M203" i="13"/>
  <c r="N203" i="13"/>
  <c r="R203" i="13" s="1"/>
  <c r="O203" i="13"/>
  <c r="P203" i="13"/>
  <c r="Q203" i="13"/>
  <c r="U203" i="13"/>
  <c r="H204" i="13"/>
  <c r="L204" i="13" s="1"/>
  <c r="I204" i="13"/>
  <c r="M204" i="13"/>
  <c r="N204" i="13"/>
  <c r="S204" i="13" s="1"/>
  <c r="O204" i="13"/>
  <c r="P204" i="13"/>
  <c r="Q204" i="13"/>
  <c r="U204" i="13"/>
  <c r="H205" i="13"/>
  <c r="I205" i="13"/>
  <c r="L205" i="13"/>
  <c r="M205" i="13"/>
  <c r="N205" i="13"/>
  <c r="R205" i="13" s="1"/>
  <c r="O205" i="13"/>
  <c r="P205" i="13"/>
  <c r="Q205" i="13"/>
  <c r="U205" i="13"/>
  <c r="H206" i="13"/>
  <c r="I206" i="13"/>
  <c r="L206" i="13" s="1"/>
  <c r="M206" i="13"/>
  <c r="N206" i="13"/>
  <c r="T206" i="13" s="1"/>
  <c r="O206" i="13"/>
  <c r="P206" i="13"/>
  <c r="Q206" i="13"/>
  <c r="U206" i="13"/>
  <c r="H207" i="13"/>
  <c r="L207" i="13" s="1"/>
  <c r="I207" i="13"/>
  <c r="M207" i="13"/>
  <c r="N207" i="13"/>
  <c r="T207" i="13" s="1"/>
  <c r="O207" i="13"/>
  <c r="P207" i="13"/>
  <c r="Q207" i="13"/>
  <c r="U207" i="13"/>
  <c r="H208" i="13"/>
  <c r="L208" i="13" s="1"/>
  <c r="I208" i="13"/>
  <c r="M208" i="13"/>
  <c r="N208" i="13"/>
  <c r="R208" i="13" s="1"/>
  <c r="O208" i="13"/>
  <c r="P208" i="13"/>
  <c r="Q208" i="13"/>
  <c r="U208" i="13"/>
  <c r="H209" i="13"/>
  <c r="I209" i="13"/>
  <c r="L209" i="13"/>
  <c r="M209" i="13"/>
  <c r="N209" i="13"/>
  <c r="T209" i="13" s="1"/>
  <c r="O209" i="13"/>
  <c r="P209" i="13"/>
  <c r="Q209" i="13"/>
  <c r="U209" i="13"/>
  <c r="H210" i="13"/>
  <c r="I210" i="13"/>
  <c r="L210" i="13"/>
  <c r="M210" i="13"/>
  <c r="N210" i="13"/>
  <c r="T210" i="13" s="1"/>
  <c r="O210" i="13"/>
  <c r="P210" i="13"/>
  <c r="Q210" i="13"/>
  <c r="U210" i="13"/>
  <c r="H211" i="13"/>
  <c r="I211" i="13"/>
  <c r="M211" i="13"/>
  <c r="N211" i="13"/>
  <c r="S211" i="13" s="1"/>
  <c r="O211" i="13"/>
  <c r="P211" i="13"/>
  <c r="Q211" i="13"/>
  <c r="U211" i="13"/>
  <c r="H212" i="13"/>
  <c r="I212" i="13"/>
  <c r="L212" i="13"/>
  <c r="M212" i="13"/>
  <c r="N212" i="13"/>
  <c r="S212" i="13" s="1"/>
  <c r="O212" i="13"/>
  <c r="P212" i="13"/>
  <c r="Q212" i="13"/>
  <c r="U212" i="13"/>
  <c r="H213" i="13"/>
  <c r="I213" i="13"/>
  <c r="L213" i="13" s="1"/>
  <c r="M213" i="13"/>
  <c r="N213" i="13"/>
  <c r="T213" i="13" s="1"/>
  <c r="O213" i="13"/>
  <c r="P213" i="13"/>
  <c r="Q213" i="13"/>
  <c r="U213" i="13"/>
  <c r="V8" i="17"/>
  <c r="V9" i="17" s="1"/>
  <c r="V10" i="17" s="1"/>
  <c r="H7" i="18"/>
  <c r="AM7" i="18" s="1"/>
  <c r="H8" i="18"/>
  <c r="H10" i="18"/>
  <c r="H21" i="18" s="1"/>
  <c r="H24" i="18" s="1"/>
  <c r="H11" i="18"/>
  <c r="H22" i="18" s="1"/>
  <c r="H12" i="18"/>
  <c r="AM16" i="18"/>
  <c r="H23" i="18"/>
  <c r="F7" i="9"/>
  <c r="K18" i="9"/>
  <c r="G7" i="9"/>
  <c r="K16" i="9"/>
  <c r="G8" i="9"/>
  <c r="D9" i="9"/>
  <c r="H45" i="9"/>
  <c r="AR11" i="9"/>
  <c r="AR12" i="9" s="1"/>
  <c r="F16" i="9"/>
  <c r="G16" i="9"/>
  <c r="H16" i="9"/>
  <c r="I16" i="9" s="1"/>
  <c r="J16" i="9"/>
  <c r="L16" i="9" s="1"/>
  <c r="F17" i="9"/>
  <c r="G17" i="9" s="1"/>
  <c r="H17" i="9"/>
  <c r="I17" i="9"/>
  <c r="J17" i="9"/>
  <c r="L17" i="9" s="1"/>
  <c r="F18" i="9"/>
  <c r="G18" i="9"/>
  <c r="H18" i="9"/>
  <c r="I18" i="9" s="1"/>
  <c r="J18" i="9"/>
  <c r="L18" i="9"/>
  <c r="F19" i="9"/>
  <c r="G19" i="9" s="1"/>
  <c r="H19" i="9"/>
  <c r="I19" i="9"/>
  <c r="J19" i="9"/>
  <c r="L19" i="9" s="1"/>
  <c r="M19" i="9" s="1"/>
  <c r="F20" i="9"/>
  <c r="G20" i="9"/>
  <c r="H20" i="9"/>
  <c r="I20" i="9" s="1"/>
  <c r="J20" i="9"/>
  <c r="L20" i="9" s="1"/>
  <c r="F21" i="9"/>
  <c r="G21" i="9"/>
  <c r="H21" i="9"/>
  <c r="I21" i="9" s="1"/>
  <c r="J21" i="9"/>
  <c r="L21" i="9"/>
  <c r="F22" i="9"/>
  <c r="G22" i="9" s="1"/>
  <c r="H22" i="9"/>
  <c r="I22" i="9"/>
  <c r="J22" i="9"/>
  <c r="L22" i="9" s="1"/>
  <c r="K22" i="9"/>
  <c r="F23" i="9"/>
  <c r="G23" i="9" s="1"/>
  <c r="H23" i="9"/>
  <c r="I23" i="9"/>
  <c r="J23" i="9"/>
  <c r="L23" i="9" s="1"/>
  <c r="M23" i="9" s="1"/>
  <c r="F24" i="9"/>
  <c r="G24" i="9" s="1"/>
  <c r="H24" i="9"/>
  <c r="I24" i="9"/>
  <c r="J24" i="9"/>
  <c r="L24" i="9" s="1"/>
  <c r="M24" i="9" s="1"/>
  <c r="O24" i="9"/>
  <c r="O26" i="9"/>
  <c r="M47" i="9" s="1"/>
  <c r="F25" i="9"/>
  <c r="G25" i="9"/>
  <c r="H25" i="9"/>
  <c r="I25" i="9" s="1"/>
  <c r="J25" i="9"/>
  <c r="L25" i="9"/>
  <c r="K25" i="9"/>
  <c r="E26" i="9"/>
  <c r="F34" i="9"/>
  <c r="G34" i="9"/>
  <c r="J34" i="9"/>
  <c r="F35" i="9"/>
  <c r="G35" i="9" s="1"/>
  <c r="J35" i="9"/>
  <c r="F36" i="9"/>
  <c r="G36" i="9" s="1"/>
  <c r="H36" i="9"/>
  <c r="I36" i="9" s="1"/>
  <c r="J36" i="9"/>
  <c r="F37" i="9"/>
  <c r="G37" i="9" s="1"/>
  <c r="H37" i="9"/>
  <c r="I37" i="9"/>
  <c r="J37" i="9"/>
  <c r="F38" i="9"/>
  <c r="G38" i="9" s="1"/>
  <c r="H38" i="9"/>
  <c r="I38" i="9" s="1"/>
  <c r="J38" i="9"/>
  <c r="F39" i="9"/>
  <c r="G39" i="9" s="1"/>
  <c r="H39" i="9"/>
  <c r="I39" i="9"/>
  <c r="J39" i="9"/>
  <c r="F40" i="9"/>
  <c r="G40" i="9"/>
  <c r="H40" i="9"/>
  <c r="I40" i="9" s="1"/>
  <c r="J40" i="9"/>
  <c r="F41" i="9"/>
  <c r="G41" i="9"/>
  <c r="H41" i="9"/>
  <c r="I41" i="9" s="1"/>
  <c r="J41" i="9"/>
  <c r="F42" i="9"/>
  <c r="G42" i="9"/>
  <c r="H42" i="9"/>
  <c r="I42" i="9" s="1"/>
  <c r="J42" i="9"/>
  <c r="F43" i="9"/>
  <c r="G43" i="9"/>
  <c r="H43" i="9"/>
  <c r="I43" i="9" s="1"/>
  <c r="J43" i="9"/>
  <c r="E44" i="9"/>
  <c r="C63" i="9"/>
  <c r="C67" i="9" s="1"/>
  <c r="F7" i="16"/>
  <c r="G7" i="16"/>
  <c r="E9" i="16"/>
  <c r="C32" i="16" s="1"/>
  <c r="AP9" i="16"/>
  <c r="AP10" i="16"/>
  <c r="D19" i="16"/>
  <c r="E19" i="16" s="1"/>
  <c r="F19" i="16"/>
  <c r="G19" i="16"/>
  <c r="H19" i="16"/>
  <c r="D22" i="16"/>
  <c r="E22" i="16"/>
  <c r="G22" i="16"/>
  <c r="H22" i="16"/>
  <c r="J22" i="16" s="1"/>
  <c r="K22" i="16" s="1"/>
  <c r="D23" i="16"/>
  <c r="E23" i="16"/>
  <c r="G23" i="16"/>
  <c r="H23" i="16"/>
  <c r="D24" i="16"/>
  <c r="E24" i="16"/>
  <c r="G24" i="16"/>
  <c r="H24" i="16"/>
  <c r="D27" i="16"/>
  <c r="E27" i="16"/>
  <c r="L29" i="16" s="1"/>
  <c r="G27" i="16"/>
  <c r="H27" i="16"/>
  <c r="C52" i="16"/>
  <c r="C56" i="16" s="1"/>
  <c r="O15" i="15"/>
  <c r="C17" i="15"/>
  <c r="C18" i="15"/>
  <c r="D17" i="15"/>
  <c r="F11" i="11"/>
  <c r="K11" i="11"/>
  <c r="K16" i="11"/>
  <c r="K18" i="11"/>
  <c r="F19" i="11"/>
  <c r="F20" i="11"/>
  <c r="C32" i="11"/>
  <c r="C34" i="11" s="1"/>
  <c r="U2" i="11" s="1"/>
  <c r="C62" i="11"/>
  <c r="C67" i="11"/>
  <c r="C63" i="11"/>
  <c r="C13" i="14"/>
  <c r="C17" i="14"/>
  <c r="BH6" i="14"/>
  <c r="O15" i="14"/>
  <c r="O21" i="14"/>
  <c r="C12" i="7"/>
  <c r="C16" i="7"/>
  <c r="T2" i="7" s="1"/>
  <c r="I19" i="7"/>
  <c r="J18" i="7"/>
  <c r="C62" i="7"/>
  <c r="C67" i="7" s="1"/>
  <c r="C63" i="7"/>
  <c r="V8" i="19"/>
  <c r="V10" i="19" s="1"/>
  <c r="V9" i="19"/>
  <c r="H10" i="19"/>
  <c r="H15" i="19"/>
  <c r="U2" i="5"/>
  <c r="U3" i="5" s="1"/>
  <c r="U4" i="5" s="1"/>
  <c r="F5" i="8"/>
  <c r="F6" i="8"/>
  <c r="F7" i="8"/>
  <c r="W7" i="8"/>
  <c r="F9" i="8"/>
  <c r="F15" i="8" s="1"/>
  <c r="AB2" i="8" s="1"/>
  <c r="F10" i="8"/>
  <c r="F12" i="8"/>
  <c r="F13" i="8"/>
  <c r="E15" i="8"/>
  <c r="E19" i="8"/>
  <c r="AB10" i="8"/>
  <c r="E5" i="4"/>
  <c r="F5" i="4"/>
  <c r="E6" i="4"/>
  <c r="F6" i="4"/>
  <c r="BA6" i="4"/>
  <c r="E7" i="4"/>
  <c r="F7" i="4"/>
  <c r="E9" i="4"/>
  <c r="E10" i="4"/>
  <c r="F10" i="4"/>
  <c r="F11" i="4"/>
  <c r="Y11" i="4"/>
  <c r="V11" i="8" s="1"/>
  <c r="W11" i="8" s="1"/>
  <c r="E12" i="4"/>
  <c r="F12" i="4"/>
  <c r="Y12" i="4"/>
  <c r="V12" i="8"/>
  <c r="W12" i="8" s="1"/>
  <c r="A13" i="4"/>
  <c r="Y13" i="4"/>
  <c r="V13" i="8" s="1"/>
  <c r="W13" i="8" s="1"/>
  <c r="Y14" i="4"/>
  <c r="V14" i="8" s="1"/>
  <c r="W14" i="8" s="1"/>
  <c r="BA17" i="4"/>
  <c r="BA25" i="4"/>
  <c r="A1" i="3"/>
  <c r="A1" i="4"/>
  <c r="A1" i="8" s="1"/>
  <c r="A1" i="5" s="1"/>
  <c r="E5" i="3"/>
  <c r="F5" i="3"/>
  <c r="E6" i="3"/>
  <c r="F6" i="3"/>
  <c r="E7" i="3"/>
  <c r="F7" i="3"/>
  <c r="E9" i="3"/>
  <c r="E10" i="3"/>
  <c r="F10" i="3"/>
  <c r="U10" i="3"/>
  <c r="Y10" i="4" s="1"/>
  <c r="V10" i="8" s="1"/>
  <c r="F11" i="3"/>
  <c r="E12" i="3"/>
  <c r="F12" i="3"/>
  <c r="A24" i="3"/>
  <c r="A24" i="4" s="1"/>
  <c r="E5" i="1"/>
  <c r="F5" i="1"/>
  <c r="E6" i="1"/>
  <c r="F6" i="1"/>
  <c r="E7" i="1"/>
  <c r="F7" i="1"/>
  <c r="E9" i="1"/>
  <c r="E10" i="1"/>
  <c r="E15" i="1" s="1"/>
  <c r="AB4" i="1" s="1"/>
  <c r="F10" i="1"/>
  <c r="F11" i="1"/>
  <c r="E12" i="1"/>
  <c r="F12" i="1"/>
  <c r="K21" i="9"/>
  <c r="L7" i="13"/>
  <c r="M7" i="13" s="1"/>
  <c r="E15" i="3"/>
  <c r="AC4" i="3" s="1"/>
  <c r="H35" i="9"/>
  <c r="I35" i="9" s="1"/>
  <c r="AV11" i="9"/>
  <c r="AV12" i="9"/>
  <c r="BB9" i="16"/>
  <c r="BC9" i="16" s="1"/>
  <c r="BD9" i="16" s="1"/>
  <c r="AU11" i="9"/>
  <c r="AU12" i="9"/>
  <c r="AW12" i="9" s="1"/>
  <c r="BE12" i="9" s="1"/>
  <c r="BC11" i="9"/>
  <c r="BA11" i="9"/>
  <c r="AY11" i="9"/>
  <c r="V13" i="17"/>
  <c r="E14" i="23"/>
  <c r="E13" i="14"/>
  <c r="E17" i="14" s="1"/>
  <c r="BJ6" i="14" s="1"/>
  <c r="D13" i="14"/>
  <c r="D17" i="14"/>
  <c r="O133" i="23"/>
  <c r="G152" i="23"/>
  <c r="I152" i="23"/>
  <c r="K152" i="23"/>
  <c r="M152" i="23"/>
  <c r="M167" i="23"/>
  <c r="M179" i="23" s="1"/>
  <c r="O54" i="23"/>
  <c r="F13" i="14"/>
  <c r="F17" i="14"/>
  <c r="BK6" i="14" s="1"/>
  <c r="G13" i="14"/>
  <c r="G17" i="14" s="1"/>
  <c r="BL6" i="14" s="1"/>
  <c r="G14" i="23"/>
  <c r="F14" i="23"/>
  <c r="AC4" i="22"/>
  <c r="AC5" i="22"/>
  <c r="E15" i="23"/>
  <c r="E22" i="23"/>
  <c r="E27" i="23" s="1"/>
  <c r="E17" i="15"/>
  <c r="H14" i="23"/>
  <c r="H13" i="14"/>
  <c r="AC9" i="22"/>
  <c r="AC11" i="22"/>
  <c r="E24" i="22"/>
  <c r="AC7" i="22"/>
  <c r="F15" i="23"/>
  <c r="F17" i="15"/>
  <c r="I13" i="14"/>
  <c r="I17" i="14" s="1"/>
  <c r="BN6" i="14" s="1"/>
  <c r="I14" i="23"/>
  <c r="H17" i="14"/>
  <c r="BM6" i="14" s="1"/>
  <c r="G15" i="23"/>
  <c r="G17" i="15"/>
  <c r="J14" i="23"/>
  <c r="J22" i="23" s="1"/>
  <c r="J27" i="23" s="1"/>
  <c r="J13" i="14"/>
  <c r="J17" i="14" s="1"/>
  <c r="BO6" i="14" s="1"/>
  <c r="E25" i="22"/>
  <c r="I19" i="14"/>
  <c r="I24" i="14" s="1"/>
  <c r="H15" i="23"/>
  <c r="H17" i="15"/>
  <c r="K13" i="14"/>
  <c r="K17" i="14"/>
  <c r="BP6" i="14" s="1"/>
  <c r="K14" i="23"/>
  <c r="I15" i="23"/>
  <c r="I17" i="15"/>
  <c r="O17" i="15" s="1"/>
  <c r="L14" i="23"/>
  <c r="L13" i="14"/>
  <c r="L17" i="14" s="1"/>
  <c r="BQ6" i="14" s="1"/>
  <c r="J19" i="14"/>
  <c r="J24" i="14" s="1"/>
  <c r="J15" i="23"/>
  <c r="J17" i="15"/>
  <c r="K19" i="14"/>
  <c r="K24" i="14" s="1"/>
  <c r="M13" i="14"/>
  <c r="M17" i="14" s="1"/>
  <c r="BR6" i="14" s="1"/>
  <c r="M14" i="23"/>
  <c r="K15" i="23"/>
  <c r="K17" i="15"/>
  <c r="H20" i="15"/>
  <c r="L19" i="14"/>
  <c r="L23" i="14" s="1"/>
  <c r="L175" i="23" s="1"/>
  <c r="M19" i="14"/>
  <c r="M24" i="14" s="1"/>
  <c r="N14" i="23"/>
  <c r="N13" i="14"/>
  <c r="N17" i="14"/>
  <c r="O12" i="14"/>
  <c r="L15" i="23"/>
  <c r="L17" i="15"/>
  <c r="I20" i="15"/>
  <c r="M15" i="23"/>
  <c r="M17" i="15"/>
  <c r="J20" i="15"/>
  <c r="K20" i="15"/>
  <c r="N15" i="23"/>
  <c r="N22" i="23" s="1"/>
  <c r="N27" i="23" s="1"/>
  <c r="O13" i="15"/>
  <c r="N17" i="15"/>
  <c r="L20" i="15"/>
  <c r="M20" i="15"/>
  <c r="N20" i="15"/>
  <c r="D66" i="23"/>
  <c r="C22" i="23"/>
  <c r="C27" i="23" s="1"/>
  <c r="C28" i="23" s="1"/>
  <c r="E66" i="23"/>
  <c r="F66" i="23"/>
  <c r="G66" i="23" s="1"/>
  <c r="H66" i="23" s="1"/>
  <c r="I66" i="23" s="1"/>
  <c r="J66" i="23" s="1"/>
  <c r="K66" i="23" s="1"/>
  <c r="L66" i="23" s="1"/>
  <c r="M66" i="23" s="1"/>
  <c r="N66" i="23" s="1"/>
  <c r="E20" i="15"/>
  <c r="F20" i="15"/>
  <c r="G20" i="15"/>
  <c r="C58" i="23"/>
  <c r="D55" i="23"/>
  <c r="D58" i="23"/>
  <c r="E55" i="23"/>
  <c r="E58" i="23"/>
  <c r="AS9" i="16"/>
  <c r="AT9" i="16"/>
  <c r="AU9" i="16" s="1"/>
  <c r="K36" i="9"/>
  <c r="K34" i="9"/>
  <c r="H34" i="9"/>
  <c r="I34" i="9" s="1"/>
  <c r="K38" i="9"/>
  <c r="K39" i="9"/>
  <c r="K40" i="9"/>
  <c r="K41" i="9"/>
  <c r="K42" i="9"/>
  <c r="K37" i="9"/>
  <c r="K35" i="9"/>
  <c r="K43" i="9"/>
  <c r="M42" i="9"/>
  <c r="M44" i="9" s="1"/>
  <c r="K23" i="9"/>
  <c r="K20" i="9"/>
  <c r="AS10" i="16"/>
  <c r="AY10" i="16" s="1"/>
  <c r="BA10" i="16" s="1"/>
  <c r="BB10" i="16"/>
  <c r="BC10" i="16" s="1"/>
  <c r="BD10" i="16" s="1"/>
  <c r="AZ10" i="16"/>
  <c r="AP11" i="16"/>
  <c r="AP12" i="16" s="1"/>
  <c r="AV13" i="9"/>
  <c r="AU13" i="9"/>
  <c r="AV14" i="9"/>
  <c r="AU14" i="9"/>
  <c r="AQ12" i="18"/>
  <c r="AR8" i="16"/>
  <c r="AZ11" i="16"/>
  <c r="AV15" i="9"/>
  <c r="AU15" i="9"/>
  <c r="AW15" i="9" s="1"/>
  <c r="AV16" i="9"/>
  <c r="AU16" i="9"/>
  <c r="AU17" i="9"/>
  <c r="AV17" i="9"/>
  <c r="AV18" i="9"/>
  <c r="AU18" i="9"/>
  <c r="AW18" i="9" s="1"/>
  <c r="AV19" i="9"/>
  <c r="AU19" i="9"/>
  <c r="AU20" i="9"/>
  <c r="AV20" i="9"/>
  <c r="AV21" i="9"/>
  <c r="AU21" i="9"/>
  <c r="AU22" i="9"/>
  <c r="AV22" i="9"/>
  <c r="AV23" i="9"/>
  <c r="AU23" i="9"/>
  <c r="AV24" i="9"/>
  <c r="AU24" i="9"/>
  <c r="AW24" i="9"/>
  <c r="AU25" i="9"/>
  <c r="AV25" i="9"/>
  <c r="AU26" i="9"/>
  <c r="AV26" i="9"/>
  <c r="AV27" i="9"/>
  <c r="AU27" i="9"/>
  <c r="AW27" i="9" s="1"/>
  <c r="BE27" i="9" s="1"/>
  <c r="BG27" i="9" s="1"/>
  <c r="AU28" i="9"/>
  <c r="AV28" i="9"/>
  <c r="AV29" i="9"/>
  <c r="AU29" i="9"/>
  <c r="AU30" i="9"/>
  <c r="AV30" i="9"/>
  <c r="AV31" i="9"/>
  <c r="AU31" i="9"/>
  <c r="AU32" i="9"/>
  <c r="AV32" i="9"/>
  <c r="AV33" i="9"/>
  <c r="AU33" i="9"/>
  <c r="AU34" i="9"/>
  <c r="AV34" i="9"/>
  <c r="AV35" i="9"/>
  <c r="AU35" i="9"/>
  <c r="AU36" i="9"/>
  <c r="AV36" i="9"/>
  <c r="AV37" i="9"/>
  <c r="AU37" i="9"/>
  <c r="AU38" i="9"/>
  <c r="AW38" i="9" s="1"/>
  <c r="BE38" i="9" s="1"/>
  <c r="BF38" i="9" s="1"/>
  <c r="AV38" i="9"/>
  <c r="AV39" i="9"/>
  <c r="AU39" i="9"/>
  <c r="AW39" i="9" s="1"/>
  <c r="AU40" i="9"/>
  <c r="AV40" i="9"/>
  <c r="AV41" i="9"/>
  <c r="AU41" i="9"/>
  <c r="AV42" i="9"/>
  <c r="AU42" i="9"/>
  <c r="AU43" i="9"/>
  <c r="AW43" i="9" s="1"/>
  <c r="AV43" i="9"/>
  <c r="AU44" i="9"/>
  <c r="AV44" i="9"/>
  <c r="AW44" i="9" s="1"/>
  <c r="BE44" i="9" s="1"/>
  <c r="AU45" i="9"/>
  <c r="AV45" i="9"/>
  <c r="AV46" i="9"/>
  <c r="AU46" i="9"/>
  <c r="AT10" i="9"/>
  <c r="BS6" i="14"/>
  <c r="F55" i="23"/>
  <c r="BS9" i="14"/>
  <c r="BS11" i="14"/>
  <c r="BS12" i="14"/>
  <c r="N19" i="14"/>
  <c r="N23" i="14"/>
  <c r="N175" i="23" s="1"/>
  <c r="G55" i="23"/>
  <c r="H55" i="23" s="1"/>
  <c r="F58" i="23"/>
  <c r="G58" i="23"/>
  <c r="J34" i="7"/>
  <c r="J37" i="7" s="1"/>
  <c r="T7" i="7"/>
  <c r="C18" i="7"/>
  <c r="C23" i="7" s="1"/>
  <c r="V11" i="19"/>
  <c r="AC9" i="17"/>
  <c r="AC10" i="17" s="1"/>
  <c r="AC12" i="17" s="1"/>
  <c r="AC11" i="17"/>
  <c r="AC13" i="17"/>
  <c r="V11" i="17"/>
  <c r="F8" i="16"/>
  <c r="I27" i="16" s="1"/>
  <c r="J23" i="16"/>
  <c r="K23" i="16" s="1"/>
  <c r="J24" i="16"/>
  <c r="K24" i="16" s="1"/>
  <c r="AB5" i="8"/>
  <c r="I25" i="14"/>
  <c r="I69" i="23" s="1"/>
  <c r="N25" i="14"/>
  <c r="N69" i="23" s="1"/>
  <c r="C22" i="7"/>
  <c r="J41" i="7"/>
  <c r="K22" i="23"/>
  <c r="K27" i="23" s="1"/>
  <c r="I167" i="23"/>
  <c r="I179" i="23"/>
  <c r="I168" i="23"/>
  <c r="F22" i="23"/>
  <c r="F27" i="23" s="1"/>
  <c r="H152" i="23"/>
  <c r="H168" i="23" s="1"/>
  <c r="J152" i="23"/>
  <c r="J167" i="23" s="1"/>
  <c r="L152" i="23"/>
  <c r="N152" i="23"/>
  <c r="J43" i="7"/>
  <c r="BS7" i="14"/>
  <c r="BS8" i="14" s="1"/>
  <c r="G167" i="23"/>
  <c r="G179" i="23" s="1"/>
  <c r="G168" i="23"/>
  <c r="BA12" i="9"/>
  <c r="BR9" i="14"/>
  <c r="BO12" i="14"/>
  <c r="BN9" i="14"/>
  <c r="K167" i="23"/>
  <c r="K179" i="23" s="1"/>
  <c r="K168" i="23"/>
  <c r="J23" i="14"/>
  <c r="J175" i="23" s="1"/>
  <c r="J25" i="14"/>
  <c r="J69" i="23" s="1"/>
  <c r="AC16" i="22"/>
  <c r="E13" i="22" s="1"/>
  <c r="E15" i="22" s="1"/>
  <c r="AC15" i="22"/>
  <c r="E18" i="22"/>
  <c r="AC6" i="22"/>
  <c r="AC8" i="22" s="1"/>
  <c r="AC10" i="22" s="1"/>
  <c r="AC12" i="22" s="1"/>
  <c r="M168" i="23"/>
  <c r="N167" i="23"/>
  <c r="N179" i="23"/>
  <c r="N168" i="23"/>
  <c r="J179" i="23"/>
  <c r="J168" i="23"/>
  <c r="L167" i="23"/>
  <c r="L179" i="23" s="1"/>
  <c r="L168" i="23"/>
  <c r="G22" i="23"/>
  <c r="G27" i="23"/>
  <c r="M23" i="14"/>
  <c r="M175" i="23"/>
  <c r="K25" i="14"/>
  <c r="K69" i="23"/>
  <c r="L25" i="14"/>
  <c r="L69" i="23"/>
  <c r="L24" i="14"/>
  <c r="K23" i="14"/>
  <c r="K175" i="23" s="1"/>
  <c r="AC7" i="3"/>
  <c r="K34" i="11"/>
  <c r="K37" i="11" s="1"/>
  <c r="AT6" i="9"/>
  <c r="M48" i="9"/>
  <c r="Z8" i="9"/>
  <c r="AW30" i="9"/>
  <c r="BE30" i="9" s="1"/>
  <c r="BG30" i="9" s="1"/>
  <c r="AT5" i="9"/>
  <c r="K17" i="9"/>
  <c r="K24" i="9"/>
  <c r="K19" i="9"/>
  <c r="I26" i="9"/>
  <c r="M21" i="9"/>
  <c r="M18" i="9"/>
  <c r="AW46" i="9"/>
  <c r="BE46" i="9"/>
  <c r="AW41" i="9"/>
  <c r="BE41" i="9"/>
  <c r="AW31" i="9"/>
  <c r="BE31" i="9"/>
  <c r="H26" i="9"/>
  <c r="Z7" i="9"/>
  <c r="M22" i="9"/>
  <c r="M17" i="9"/>
  <c r="J27" i="16"/>
  <c r="K27" i="16"/>
  <c r="AW25" i="9"/>
  <c r="BE25" i="9" s="1"/>
  <c r="BF25" i="9" s="1"/>
  <c r="AW19" i="9"/>
  <c r="BE19" i="9" s="1"/>
  <c r="AW35" i="9"/>
  <c r="BE35" i="9" s="1"/>
  <c r="BF35" i="9" s="1"/>
  <c r="AW26" i="9"/>
  <c r="BE26" i="9" s="1"/>
  <c r="BF26" i="9" s="1"/>
  <c r="I19" i="16"/>
  <c r="J19" i="16"/>
  <c r="K19" i="16" s="1"/>
  <c r="I23" i="16"/>
  <c r="I24" i="16"/>
  <c r="AX9" i="16"/>
  <c r="I22" i="16"/>
  <c r="AZ9" i="16"/>
  <c r="X21" i="16"/>
  <c r="BH6" i="15"/>
  <c r="D18" i="15"/>
  <c r="BM11" i="14"/>
  <c r="BM7" i="14"/>
  <c r="BM8" i="14" s="1"/>
  <c r="BM10" i="14" s="1"/>
  <c r="BM9" i="14"/>
  <c r="BM12" i="14"/>
  <c r="H19" i="14"/>
  <c r="BL11" i="14"/>
  <c r="BL9" i="14"/>
  <c r="BL7" i="14"/>
  <c r="BL8" i="14" s="1"/>
  <c r="BL10" i="14" s="1"/>
  <c r="BL12" i="14"/>
  <c r="G19" i="14"/>
  <c r="G23" i="14" s="1"/>
  <c r="G175" i="23" s="1"/>
  <c r="O13" i="14"/>
  <c r="BK7" i="14"/>
  <c r="BK8" i="14" s="1"/>
  <c r="BK10" i="14" s="1"/>
  <c r="BK9" i="14"/>
  <c r="BK11" i="14"/>
  <c r="BH11" i="15"/>
  <c r="U3" i="11"/>
  <c r="U4" i="11" s="1"/>
  <c r="U5" i="11"/>
  <c r="U7" i="11"/>
  <c r="AB7" i="1"/>
  <c r="AB9" i="1"/>
  <c r="AB11" i="1"/>
  <c r="D24" i="1"/>
  <c r="AB5" i="1"/>
  <c r="AB6" i="1" s="1"/>
  <c r="AB8" i="1" s="1"/>
  <c r="AB10" i="1" s="1"/>
  <c r="AB12" i="1" s="1"/>
  <c r="AB15" i="1"/>
  <c r="D18" i="1"/>
  <c r="U5" i="5"/>
  <c r="U7" i="5"/>
  <c r="AW45" i="9"/>
  <c r="BE45" i="9" s="1"/>
  <c r="BG45" i="9" s="1"/>
  <c r="AW34" i="9"/>
  <c r="BE34" i="9" s="1"/>
  <c r="BF34" i="9" s="1"/>
  <c r="AW29" i="9"/>
  <c r="BE29" i="9" s="1"/>
  <c r="BG29" i="9" s="1"/>
  <c r="AW28" i="9"/>
  <c r="BE28" i="9" s="1"/>
  <c r="BF28" i="9" s="1"/>
  <c r="AW23" i="9"/>
  <c r="BE23" i="9" s="1"/>
  <c r="AW22" i="9"/>
  <c r="BE22" i="9" s="1"/>
  <c r="BF22" i="9" s="1"/>
  <c r="AW20" i="9"/>
  <c r="BE20" i="9" s="1"/>
  <c r="BF20" i="9" s="1"/>
  <c r="AW17" i="9"/>
  <c r="AW13" i="9"/>
  <c r="BE13" i="9" s="1"/>
  <c r="BG13" i="9" s="1"/>
  <c r="AW36" i="9"/>
  <c r="BE36" i="9" s="1"/>
  <c r="BF36" i="9" s="1"/>
  <c r="AW32" i="9"/>
  <c r="AW42" i="9"/>
  <c r="AW16" i="9"/>
  <c r="AW14" i="9"/>
  <c r="BE14" i="9" s="1"/>
  <c r="BF14" i="9" s="1"/>
  <c r="AV10" i="16"/>
  <c r="AT10" i="16"/>
  <c r="AU10" i="16" s="1"/>
  <c r="AX10" i="16"/>
  <c r="AW21" i="9"/>
  <c r="AW11" i="9"/>
  <c r="AZ11" i="9" s="1"/>
  <c r="BB11" i="9" s="1"/>
  <c r="E139" i="23"/>
  <c r="E152" i="23" s="1"/>
  <c r="E167" i="23" s="1"/>
  <c r="E179" i="23" s="1"/>
  <c r="F137" i="23"/>
  <c r="F139" i="23"/>
  <c r="F152" i="23"/>
  <c r="F168" i="23" s="1"/>
  <c r="O128" i="23"/>
  <c r="O131" i="23"/>
  <c r="O119" i="23"/>
  <c r="O132" i="23"/>
  <c r="O110" i="23"/>
  <c r="E137" i="23"/>
  <c r="D137" i="23"/>
  <c r="C137" i="23"/>
  <c r="D168" i="23"/>
  <c r="O101" i="23"/>
  <c r="C139" i="23"/>
  <c r="C152" i="23" s="1"/>
  <c r="BJ9" i="14"/>
  <c r="BJ7" i="14"/>
  <c r="BJ11" i="14"/>
  <c r="BJ8" i="14"/>
  <c r="O17" i="14"/>
  <c r="BI6" i="14"/>
  <c r="BH7" i="14"/>
  <c r="BH8" i="14" s="1"/>
  <c r="BH10" i="14"/>
  <c r="BH9" i="14"/>
  <c r="BH11" i="14"/>
  <c r="E18" i="15"/>
  <c r="BI6" i="15"/>
  <c r="H25" i="14"/>
  <c r="H69" i="23"/>
  <c r="H23" i="14"/>
  <c r="H175" i="23" s="1"/>
  <c r="H24" i="14"/>
  <c r="G24" i="14"/>
  <c r="BK12" i="14"/>
  <c r="F19" i="14"/>
  <c r="F24" i="14" s="1"/>
  <c r="C36" i="11"/>
  <c r="D25" i="1"/>
  <c r="AB16" i="1"/>
  <c r="D13" i="1" s="1"/>
  <c r="D15" i="1" s="1"/>
  <c r="BJ12" i="14"/>
  <c r="E19" i="14"/>
  <c r="E25" i="14" s="1"/>
  <c r="E69" i="23" s="1"/>
  <c r="BG36" i="9"/>
  <c r="BF44" i="9"/>
  <c r="BE11" i="9"/>
  <c r="BG11" i="9" s="1"/>
  <c r="BH12" i="14"/>
  <c r="C19" i="14"/>
  <c r="C25" i="14" s="1"/>
  <c r="C69" i="23" s="1"/>
  <c r="O137" i="23"/>
  <c r="F167" i="23"/>
  <c r="F179" i="23" s="1"/>
  <c r="O139" i="23"/>
  <c r="BI9" i="14"/>
  <c r="BI7" i="14"/>
  <c r="BI8" i="14"/>
  <c r="BI11" i="14"/>
  <c r="BJ6" i="15"/>
  <c r="BJ12" i="15" s="1"/>
  <c r="F18" i="15"/>
  <c r="BI11" i="15"/>
  <c r="BI9" i="15"/>
  <c r="BI7" i="15"/>
  <c r="BI8" i="15" s="1"/>
  <c r="BI10" i="15" s="1"/>
  <c r="BI12" i="15"/>
  <c r="D20" i="15" s="1"/>
  <c r="BI12" i="14"/>
  <c r="D19" i="14"/>
  <c r="D24" i="14" s="1"/>
  <c r="O24" i="14" s="1"/>
  <c r="BJ9" i="15"/>
  <c r="BJ7" i="15"/>
  <c r="BJ8" i="15" s="1"/>
  <c r="BJ10" i="15" s="1"/>
  <c r="BJ11" i="15"/>
  <c r="BK6" i="15"/>
  <c r="BK12" i="15" s="1"/>
  <c r="G18" i="15"/>
  <c r="BL6" i="15" s="1"/>
  <c r="BK9" i="15"/>
  <c r="BK11" i="15"/>
  <c r="H18" i="15"/>
  <c r="BM6" i="15"/>
  <c r="BM9" i="15" s="1"/>
  <c r="I18" i="15"/>
  <c r="J18" i="15" s="1"/>
  <c r="BM11" i="15"/>
  <c r="D23" i="14"/>
  <c r="D175" i="23"/>
  <c r="C24" i="14"/>
  <c r="BF11" i="9"/>
  <c r="BH11" i="9" s="1"/>
  <c r="BG25" i="9"/>
  <c r="BH25" i="9"/>
  <c r="BF31" i="9"/>
  <c r="BG31" i="9"/>
  <c r="BF46" i="9"/>
  <c r="BG46" i="9"/>
  <c r="BH46" i="9" s="1"/>
  <c r="BF30" i="9"/>
  <c r="BH30" i="9" s="1"/>
  <c r="BE43" i="9"/>
  <c r="BG43" i="9" s="1"/>
  <c r="BH43" i="9" s="1"/>
  <c r="BE39" i="9"/>
  <c r="BG38" i="9"/>
  <c r="BH38" i="9" s="1"/>
  <c r="BE24" i="9"/>
  <c r="BE18" i="9"/>
  <c r="BG18" i="9" s="1"/>
  <c r="BE15" i="9"/>
  <c r="BF29" i="9"/>
  <c r="BH29" i="9" s="1"/>
  <c r="BG28" i="9"/>
  <c r="BH28" i="9"/>
  <c r="BG20" i="9"/>
  <c r="BH20" i="9" s="1"/>
  <c r="BF13" i="9"/>
  <c r="BH13" i="9" s="1"/>
  <c r="BF18" i="9"/>
  <c r="BI10" i="14"/>
  <c r="BE16" i="9"/>
  <c r="BF16" i="9"/>
  <c r="BG44" i="9"/>
  <c r="BH44" i="9" s="1"/>
  <c r="BF27" i="9"/>
  <c r="BH27" i="9" s="1"/>
  <c r="BF45" i="9"/>
  <c r="BH45" i="9" s="1"/>
  <c r="BE17" i="9"/>
  <c r="BG17" i="9" s="1"/>
  <c r="AY9" i="16"/>
  <c r="BA9" i="16" s="1"/>
  <c r="AV9" i="16"/>
  <c r="AW9" i="16" s="1"/>
  <c r="I23" i="14"/>
  <c r="I175" i="23" s="1"/>
  <c r="H22" i="23"/>
  <c r="H27" i="23"/>
  <c r="I22" i="23"/>
  <c r="I27" i="23" s="1"/>
  <c r="I44" i="9"/>
  <c r="L44" i="9" s="1"/>
  <c r="N44" i="9" s="1"/>
  <c r="Y8" i="9" s="1"/>
  <c r="AC11" i="3"/>
  <c r="D24" i="3"/>
  <c r="AU11" i="18"/>
  <c r="AU13" i="18" s="1"/>
  <c r="AM9" i="18"/>
  <c r="AM12" i="18" s="1"/>
  <c r="AQ11" i="18"/>
  <c r="AM14" i="18"/>
  <c r="AM10" i="18"/>
  <c r="AM11" i="18" s="1"/>
  <c r="V4" i="22"/>
  <c r="V5" i="22" s="1"/>
  <c r="E24" i="14"/>
  <c r="F23" i="14"/>
  <c r="F25" i="14"/>
  <c r="F69" i="23"/>
  <c r="BF19" i="9"/>
  <c r="BG19" i="9"/>
  <c r="BG41" i="9"/>
  <c r="BF41" i="9"/>
  <c r="BH41" i="9" s="1"/>
  <c r="BE10" i="16"/>
  <c r="O15" i="23"/>
  <c r="N24" i="14"/>
  <c r="V12" i="19"/>
  <c r="V24" i="19"/>
  <c r="V13" i="19"/>
  <c r="BF15" i="9"/>
  <c r="BG15" i="9"/>
  <c r="BH15" i="9" s="1"/>
  <c r="BG24" i="9"/>
  <c r="BH24" i="9" s="1"/>
  <c r="BF24" i="9"/>
  <c r="BF43" i="9"/>
  <c r="BG16" i="9"/>
  <c r="BG12" i="9"/>
  <c r="BF12" i="9"/>
  <c r="BF39" i="9"/>
  <c r="BG39" i="9"/>
  <c r="BH31" i="9"/>
  <c r="BF17" i="9"/>
  <c r="BH17" i="9" s="1"/>
  <c r="AU16" i="18"/>
  <c r="AQ16" i="18"/>
  <c r="AQ13" i="18"/>
  <c r="AQ15" i="18" s="1"/>
  <c r="AQ17" i="18" s="1"/>
  <c r="AQ19" i="18" s="1"/>
  <c r="AQ24" i="18" s="1"/>
  <c r="AQ31" i="18" s="1"/>
  <c r="AQ18" i="18"/>
  <c r="AQ14" i="18"/>
  <c r="F175" i="23"/>
  <c r="BH39" i="9"/>
  <c r="V14" i="19"/>
  <c r="V21" i="19" s="1"/>
  <c r="BH16" i="9"/>
  <c r="C23" i="14"/>
  <c r="D25" i="14"/>
  <c r="D69" i="23" s="1"/>
  <c r="BH36" i="9"/>
  <c r="BG14" i="9"/>
  <c r="K41" i="11"/>
  <c r="K43" i="11"/>
  <c r="C40" i="11"/>
  <c r="D28" i="23"/>
  <c r="D57" i="23" s="1"/>
  <c r="C57" i="23"/>
  <c r="C60" i="23"/>
  <c r="C62" i="23" s="1"/>
  <c r="BD11" i="9"/>
  <c r="BG22" i="9"/>
  <c r="BH22" i="9" s="1"/>
  <c r="C175" i="23"/>
  <c r="D60" i="23"/>
  <c r="D62" i="23" s="1"/>
  <c r="E28" i="23"/>
  <c r="E57" i="23" s="1"/>
  <c r="BH14" i="9"/>
  <c r="E60" i="23"/>
  <c r="E62" i="23" s="1"/>
  <c r="T19" i="13"/>
  <c r="T18" i="13" l="1"/>
  <c r="T17" i="13"/>
  <c r="S94" i="13"/>
  <c r="S53" i="13"/>
  <c r="T165" i="13"/>
  <c r="R102" i="13"/>
  <c r="T132" i="13"/>
  <c r="R122" i="13"/>
  <c r="R7" i="13"/>
  <c r="U7" i="13" s="1"/>
  <c r="S158" i="13"/>
  <c r="R136" i="13"/>
  <c r="R96" i="13"/>
  <c r="R134" i="13"/>
  <c r="T56" i="13"/>
  <c r="S22" i="13"/>
  <c r="S103" i="13"/>
  <c r="T102" i="13"/>
  <c r="R120" i="13"/>
  <c r="S68" i="13"/>
  <c r="R83" i="13"/>
  <c r="S164" i="13"/>
  <c r="R99" i="13"/>
  <c r="T92" i="13"/>
  <c r="T76" i="13"/>
  <c r="R146" i="13"/>
  <c r="T42" i="13"/>
  <c r="T100" i="13"/>
  <c r="S114" i="13"/>
  <c r="S66" i="13"/>
  <c r="T90" i="13"/>
  <c r="T50" i="13"/>
  <c r="R84" i="13"/>
  <c r="T138" i="13"/>
  <c r="R178" i="13"/>
  <c r="T81" i="13"/>
  <c r="R26" i="13"/>
  <c r="R10" i="13"/>
  <c r="T11" i="13"/>
  <c r="T65" i="13"/>
  <c r="T208" i="13"/>
  <c r="C167" i="23"/>
  <c r="O152" i="23"/>
  <c r="C168" i="23"/>
  <c r="K18" i="15"/>
  <c r="BO6" i="15"/>
  <c r="BL12" i="15"/>
  <c r="BL9" i="15"/>
  <c r="BL7" i="15"/>
  <c r="BL8" i="15" s="1"/>
  <c r="BL10" i="15" s="1"/>
  <c r="BL11" i="15"/>
  <c r="F28" i="23"/>
  <c r="AU14" i="18"/>
  <c r="AU15" i="18" s="1"/>
  <c r="AU17" i="18" s="1"/>
  <c r="AU19" i="18" s="1"/>
  <c r="AU24" i="18" s="1"/>
  <c r="AU31" i="18" s="1"/>
  <c r="H17" i="18" s="1"/>
  <c r="BH19" i="9"/>
  <c r="BG34" i="9"/>
  <c r="BH34" i="9" s="1"/>
  <c r="BM12" i="15"/>
  <c r="BN6" i="15"/>
  <c r="BM7" i="15"/>
  <c r="BM8" i="15" s="1"/>
  <c r="BM10" i="15" s="1"/>
  <c r="E168" i="23"/>
  <c r="AU18" i="18"/>
  <c r="BH12" i="9"/>
  <c r="O19" i="14"/>
  <c r="AM13" i="18"/>
  <c r="AM15" i="18" s="1"/>
  <c r="BH18" i="9"/>
  <c r="BK7" i="15"/>
  <c r="BK8" i="15" s="1"/>
  <c r="BK10" i="15" s="1"/>
  <c r="E23" i="14"/>
  <c r="BG35" i="9"/>
  <c r="BJ10" i="14"/>
  <c r="BH12" i="15"/>
  <c r="C20" i="15" s="1"/>
  <c r="C24" i="15" s="1"/>
  <c r="BH9" i="15"/>
  <c r="BH7" i="15"/>
  <c r="BH8" i="15" s="1"/>
  <c r="BH10" i="15" s="1"/>
  <c r="BH35" i="9"/>
  <c r="V26" i="19"/>
  <c r="C21" i="19" s="1"/>
  <c r="BE21" i="9"/>
  <c r="H167" i="23"/>
  <c r="H179" i="23" s="1"/>
  <c r="AS12" i="16"/>
  <c r="BB12" i="16"/>
  <c r="BC12" i="16" s="1"/>
  <c r="BD12" i="16" s="1"/>
  <c r="AZ12" i="16"/>
  <c r="AP13" i="16"/>
  <c r="BQ11" i="14"/>
  <c r="BQ8" i="14"/>
  <c r="BQ12" i="14"/>
  <c r="BQ9" i="14"/>
  <c r="BQ7" i="14"/>
  <c r="U6" i="5"/>
  <c r="U8" i="5" s="1"/>
  <c r="C7" i="5" s="1"/>
  <c r="U6" i="11"/>
  <c r="U8" i="11" s="1"/>
  <c r="BP11" i="14"/>
  <c r="BP12" i="14"/>
  <c r="BP7" i="14"/>
  <c r="BP8" i="14" s="1"/>
  <c r="BP10" i="14" s="1"/>
  <c r="BP9" i="14"/>
  <c r="BN7" i="14"/>
  <c r="BN8" i="14" s="1"/>
  <c r="BN10" i="14" s="1"/>
  <c r="BN12" i="14"/>
  <c r="BN11" i="14"/>
  <c r="AC9" i="3"/>
  <c r="AC5" i="3"/>
  <c r="AC6" i="3" s="1"/>
  <c r="AC8" i="3" s="1"/>
  <c r="AC10" i="3" s="1"/>
  <c r="T5" i="7"/>
  <c r="T3" i="7"/>
  <c r="T4" i="7" s="1"/>
  <c r="T6" i="7" s="1"/>
  <c r="T8" i="7" s="1"/>
  <c r="AY12" i="9"/>
  <c r="AZ12" i="9" s="1"/>
  <c r="BB12" i="9" s="1"/>
  <c r="BD12" i="9" s="1"/>
  <c r="BC12" i="9"/>
  <c r="AR13" i="9"/>
  <c r="AW10" i="16"/>
  <c r="H58" i="23"/>
  <c r="I55" i="23"/>
  <c r="BR7" i="14"/>
  <c r="BR8" i="14" s="1"/>
  <c r="BR10" i="14" s="1"/>
  <c r="BR11" i="14"/>
  <c r="BR12" i="14"/>
  <c r="BO11" i="14"/>
  <c r="BO9" i="14"/>
  <c r="BO7" i="14"/>
  <c r="BO8" i="14" s="1"/>
  <c r="BO10" i="14" s="1"/>
  <c r="AB4" i="8"/>
  <c r="AB6" i="8" s="1"/>
  <c r="AB3" i="8"/>
  <c r="AB12" i="8"/>
  <c r="E18" i="8" s="1"/>
  <c r="AB7" i="8"/>
  <c r="BB11" i="16"/>
  <c r="BC11" i="16" s="1"/>
  <c r="BD11" i="16" s="1"/>
  <c r="M20" i="9"/>
  <c r="L211" i="13"/>
  <c r="BS10" i="14"/>
  <c r="AS11" i="16"/>
  <c r="M22" i="23"/>
  <c r="M27" i="23" s="1"/>
  <c r="L22" i="23"/>
  <c r="L27" i="23" s="1"/>
  <c r="BG26" i="9"/>
  <c r="BH26" i="9" s="1"/>
  <c r="AW40" i="9"/>
  <c r="AW37" i="9"/>
  <c r="AW33" i="9"/>
  <c r="M25" i="14"/>
  <c r="M69" i="23" s="1"/>
  <c r="O14" i="23"/>
  <c r="O22" i="23" s="1"/>
  <c r="O27" i="23" s="1"/>
  <c r="E15" i="4"/>
  <c r="AE2" i="4" s="1"/>
  <c r="AE3" i="4" s="1"/>
  <c r="AE4" i="4" s="1"/>
  <c r="M25" i="9"/>
  <c r="M16" i="9"/>
  <c r="M26" i="9" s="1"/>
  <c r="I137" i="23"/>
  <c r="M137" i="23"/>
  <c r="J137" i="23"/>
  <c r="N137" i="23"/>
  <c r="G137" i="23"/>
  <c r="K137" i="23"/>
  <c r="H137" i="23"/>
  <c r="L137" i="23"/>
  <c r="S133" i="13"/>
  <c r="S35" i="13"/>
  <c r="R153" i="13"/>
  <c r="S83" i="13"/>
  <c r="R9" i="13"/>
  <c r="S155" i="13"/>
  <c r="S181" i="13"/>
  <c r="S31" i="13"/>
  <c r="R188" i="13"/>
  <c r="R182" i="13"/>
  <c r="R211" i="13"/>
  <c r="T145" i="13"/>
  <c r="R177" i="13"/>
  <c r="T151" i="13"/>
  <c r="R21" i="13"/>
  <c r="T61" i="13"/>
  <c r="S109" i="13"/>
  <c r="R191" i="13"/>
  <c r="R207" i="13"/>
  <c r="T51" i="13"/>
  <c r="R73" i="13"/>
  <c r="T97" i="13"/>
  <c r="S15" i="13"/>
  <c r="S151" i="13"/>
  <c r="R13" i="13"/>
  <c r="T37" i="13"/>
  <c r="T173" i="13"/>
  <c r="T121" i="13"/>
  <c r="S117" i="13"/>
  <c r="S147" i="13"/>
  <c r="R169" i="13"/>
  <c r="T53" i="13"/>
  <c r="T117" i="13"/>
  <c r="S213" i="13"/>
  <c r="T23" i="13"/>
  <c r="R55" i="13"/>
  <c r="T85" i="13"/>
  <c r="R105" i="13"/>
  <c r="T127" i="13"/>
  <c r="S171" i="13"/>
  <c r="S201" i="13"/>
  <c r="S175" i="13"/>
  <c r="R31" i="13"/>
  <c r="T21" i="13"/>
  <c r="S95" i="13"/>
  <c r="R43" i="13"/>
  <c r="T153" i="13"/>
  <c r="R23" i="13"/>
  <c r="S143" i="13"/>
  <c r="R49" i="13"/>
  <c r="S49" i="13"/>
  <c r="R33" i="13"/>
  <c r="S141" i="13"/>
  <c r="T13" i="13"/>
  <c r="T129" i="13"/>
  <c r="S51" i="13"/>
  <c r="S199" i="13"/>
  <c r="T113" i="13"/>
  <c r="R121" i="13"/>
  <c r="S123" i="13"/>
  <c r="R157" i="13"/>
  <c r="S113" i="13"/>
  <c r="R11" i="13"/>
  <c r="S167" i="13"/>
  <c r="R15" i="13"/>
  <c r="R101" i="13"/>
  <c r="T171" i="13"/>
  <c r="T119" i="13"/>
  <c r="T57" i="13"/>
  <c r="R159" i="13"/>
  <c r="S125" i="13"/>
  <c r="R95" i="13"/>
  <c r="S115" i="13"/>
  <c r="S127" i="13"/>
  <c r="S105" i="13"/>
  <c r="T111" i="13"/>
  <c r="T139" i="13"/>
  <c r="T79" i="13"/>
  <c r="T35" i="13"/>
  <c r="S55" i="13"/>
  <c r="S57" i="13"/>
  <c r="R85" i="13"/>
  <c r="T103" i="13"/>
  <c r="T109" i="13"/>
  <c r="S187" i="13"/>
  <c r="R197" i="13"/>
  <c r="R209" i="13"/>
  <c r="S159" i="13"/>
  <c r="T203" i="13"/>
  <c r="T75" i="13"/>
  <c r="S39" i="13"/>
  <c r="R17" i="13"/>
  <c r="S131" i="13"/>
  <c r="R45" i="13"/>
  <c r="T39" i="13"/>
  <c r="R81" i="13"/>
  <c r="T33" i="13"/>
  <c r="S45" i="13"/>
  <c r="S77" i="13"/>
  <c r="S135" i="13"/>
  <c r="S41" i="13"/>
  <c r="S19" i="13"/>
  <c r="T43" i="13"/>
  <c r="T133" i="13"/>
  <c r="R91" i="13"/>
  <c r="R149" i="13"/>
  <c r="R87" i="13"/>
  <c r="T155" i="13"/>
  <c r="T9" i="13"/>
  <c r="S73" i="13"/>
  <c r="R139" i="13"/>
  <c r="T93" i="13"/>
  <c r="T89" i="13"/>
  <c r="T25" i="13"/>
  <c r="R37" i="13"/>
  <c r="S25" i="13"/>
  <c r="S79" i="13"/>
  <c r="T29" i="13"/>
  <c r="S29" i="13"/>
  <c r="T115" i="13"/>
  <c r="S111" i="13"/>
  <c r="R123" i="13"/>
  <c r="T199" i="13"/>
  <c r="S101" i="13"/>
  <c r="S47" i="13"/>
  <c r="S177" i="13"/>
  <c r="R71" i="13"/>
  <c r="R213" i="13"/>
  <c r="T71" i="13"/>
  <c r="T141" i="13"/>
  <c r="T77" i="13"/>
  <c r="R125" i="13"/>
  <c r="S59" i="13"/>
  <c r="T175" i="13"/>
  <c r="T161" i="13"/>
  <c r="R129" i="13"/>
  <c r="S93" i="13"/>
  <c r="R27" i="13"/>
  <c r="T91" i="13"/>
  <c r="T205" i="13"/>
  <c r="T87" i="13"/>
  <c r="T47" i="13"/>
  <c r="S27" i="13"/>
  <c r="S193" i="13"/>
  <c r="S169" i="13"/>
  <c r="S157" i="13"/>
  <c r="S163" i="13"/>
  <c r="S119" i="13"/>
  <c r="S99" i="13"/>
  <c r="S69" i="13"/>
  <c r="S165" i="13"/>
  <c r="R173" i="13"/>
  <c r="R41" i="13"/>
  <c r="R97" i="13"/>
  <c r="AM17" i="18"/>
  <c r="H16" i="18"/>
  <c r="D25" i="3"/>
  <c r="AC12" i="3"/>
  <c r="BE9" i="16"/>
  <c r="BE42" i="9"/>
  <c r="BE32" i="9"/>
  <c r="BE37" i="9"/>
  <c r="C26" i="14"/>
  <c r="D26" i="14" s="1"/>
  <c r="E26" i="14" s="1"/>
  <c r="F26" i="14" s="1"/>
  <c r="K28" i="16"/>
  <c r="BG23" i="9"/>
  <c r="BF23" i="9"/>
  <c r="AC14" i="17"/>
  <c r="G25" i="14"/>
  <c r="G69" i="23" s="1"/>
  <c r="V12" i="17"/>
  <c r="V14" i="17" s="1"/>
  <c r="S206" i="13"/>
  <c r="R210" i="13"/>
  <c r="T58" i="13"/>
  <c r="R68" i="13"/>
  <c r="S82" i="13"/>
  <c r="T128" i="13"/>
  <c r="S134" i="13"/>
  <c r="S142" i="13"/>
  <c r="T150" i="13"/>
  <c r="T170" i="13"/>
  <c r="T186" i="13"/>
  <c r="T200" i="13"/>
  <c r="R88" i="13"/>
  <c r="T78" i="13"/>
  <c r="T24" i="13"/>
  <c r="S162" i="13"/>
  <c r="R162" i="13"/>
  <c r="R42" i="13"/>
  <c r="T180" i="13"/>
  <c r="S106" i="13"/>
  <c r="T192" i="13"/>
  <c r="T94" i="13"/>
  <c r="S80" i="13"/>
  <c r="S98" i="13"/>
  <c r="T190" i="13"/>
  <c r="R140" i="13"/>
  <c r="R200" i="13"/>
  <c r="R202" i="13"/>
  <c r="S70" i="13"/>
  <c r="R50" i="13"/>
  <c r="R74" i="13"/>
  <c r="T204" i="13"/>
  <c r="T212" i="13"/>
  <c r="T188" i="13"/>
  <c r="R192" i="13"/>
  <c r="S170" i="13"/>
  <c r="S138" i="13"/>
  <c r="R92" i="13"/>
  <c r="S8" i="13"/>
  <c r="R32" i="13"/>
  <c r="R58" i="13"/>
  <c r="S72" i="13"/>
  <c r="R76" i="13"/>
  <c r="S88" i="13"/>
  <c r="S104" i="13"/>
  <c r="T130" i="13"/>
  <c r="T136" i="13"/>
  <c r="R142" i="13"/>
  <c r="S146" i="13"/>
  <c r="R148" i="13"/>
  <c r="R154" i="13"/>
  <c r="S168" i="13"/>
  <c r="T178" i="13"/>
  <c r="S186" i="13"/>
  <c r="S208" i="13"/>
  <c r="R44" i="13"/>
  <c r="R20" i="13"/>
  <c r="S34" i="13"/>
  <c r="R36" i="13"/>
  <c r="S184" i="13"/>
  <c r="T154" i="13"/>
  <c r="S7" i="13"/>
  <c r="S78" i="13"/>
  <c r="S24" i="13"/>
  <c r="S194" i="13"/>
  <c r="R46" i="13"/>
  <c r="R90" i="13"/>
  <c r="T62" i="13"/>
  <c r="T176" i="13"/>
  <c r="T96" i="13"/>
  <c r="T174" i="13"/>
  <c r="S172" i="13"/>
  <c r="R190" i="13"/>
  <c r="R62" i="13"/>
  <c r="T66" i="13"/>
  <c r="R184" i="13"/>
  <c r="T36" i="13"/>
  <c r="T82" i="13"/>
  <c r="R22" i="13"/>
  <c r="T140" i="13"/>
  <c r="T26" i="13"/>
  <c r="T12" i="13"/>
  <c r="R198" i="13"/>
  <c r="S20" i="13"/>
  <c r="R176" i="13"/>
  <c r="T98" i="13"/>
  <c r="S126" i="13"/>
  <c r="S198" i="13"/>
  <c r="R158" i="13"/>
  <c r="T64" i="13"/>
  <c r="R126" i="13"/>
  <c r="S144" i="13"/>
  <c r="T32" i="13"/>
  <c r="T182" i="13"/>
  <c r="T120" i="13"/>
  <c r="R212" i="13"/>
  <c r="R116" i="13"/>
  <c r="R174" i="13"/>
  <c r="T74" i="13"/>
  <c r="T106" i="13"/>
  <c r="S64" i="13"/>
  <c r="R100" i="13"/>
  <c r="T122" i="13"/>
  <c r="T164" i="13"/>
  <c r="T172" i="13"/>
  <c r="J2" i="1"/>
  <c r="A8" i="22"/>
  <c r="G8" i="22"/>
  <c r="G15" i="22" s="1"/>
  <c r="V7" i="22" s="1"/>
  <c r="C12" i="17"/>
  <c r="C8" i="19"/>
  <c r="J2" i="3"/>
  <c r="T72" i="13"/>
  <c r="T104" i="13"/>
  <c r="S128" i="13"/>
  <c r="S130" i="13"/>
  <c r="R132" i="13"/>
  <c r="T148" i="13"/>
  <c r="R150" i="13"/>
  <c r="T168" i="13"/>
  <c r="R61" i="13"/>
  <c r="R187" i="13"/>
  <c r="S191" i="13"/>
  <c r="S197" i="13"/>
  <c r="T201" i="13"/>
  <c r="S209" i="13"/>
  <c r="T211" i="13"/>
  <c r="T181" i="13"/>
  <c r="S207" i="13"/>
  <c r="R193" i="13"/>
  <c r="T44" i="13"/>
  <c r="T30" i="13"/>
  <c r="T38" i="13"/>
  <c r="T112" i="13"/>
  <c r="R28" i="13"/>
  <c r="R40" i="13"/>
  <c r="T28" i="13"/>
  <c r="R30" i="13"/>
  <c r="S84" i="13"/>
  <c r="S48" i="13"/>
  <c r="T135" i="13"/>
  <c r="T166" i="13"/>
  <c r="S166" i="13"/>
  <c r="T46" i="13"/>
  <c r="T137" i="13"/>
  <c r="T10" i="13"/>
  <c r="R80" i="13"/>
  <c r="S18" i="13"/>
  <c r="S86" i="13"/>
  <c r="T34" i="13"/>
  <c r="T52" i="13"/>
  <c r="R16" i="13"/>
  <c r="S112" i="13"/>
  <c r="T16" i="13"/>
  <c r="T60" i="13"/>
  <c r="R147" i="13"/>
  <c r="T54" i="13"/>
  <c r="R70" i="13"/>
  <c r="S56" i="13"/>
  <c r="R67" i="13"/>
  <c r="T189" i="13"/>
  <c r="S183" i="13"/>
  <c r="T63" i="13"/>
  <c r="R183" i="13"/>
  <c r="R59" i="13"/>
  <c r="S63" i="13"/>
  <c r="R195" i="13"/>
  <c r="T8" i="13"/>
  <c r="S38" i="13"/>
  <c r="R124" i="13"/>
  <c r="T124" i="13"/>
  <c r="R156" i="13"/>
  <c r="S14" i="13"/>
  <c r="T40" i="13"/>
  <c r="S54" i="13"/>
  <c r="S118" i="13"/>
  <c r="R114" i="13"/>
  <c r="T86" i="13"/>
  <c r="R152" i="13"/>
  <c r="T118" i="13"/>
  <c r="S52" i="13"/>
  <c r="T69" i="13"/>
  <c r="S137" i="13"/>
  <c r="R189" i="13"/>
  <c r="T195" i="13"/>
  <c r="R110" i="13"/>
  <c r="T152" i="13"/>
  <c r="T116" i="13"/>
  <c r="S156" i="13"/>
  <c r="S60" i="13"/>
  <c r="T110" i="13"/>
  <c r="S12" i="13"/>
  <c r="T14" i="13"/>
  <c r="R196" i="13"/>
  <c r="T131" i="13"/>
  <c r="S205" i="13"/>
  <c r="T107" i="13"/>
  <c r="R179" i="13"/>
  <c r="T179" i="13"/>
  <c r="T149" i="13"/>
  <c r="S203" i="13"/>
  <c r="T185" i="13"/>
  <c r="R163" i="13"/>
  <c r="R204" i="13"/>
  <c r="R180" i="13"/>
  <c r="R160" i="13"/>
  <c r="R144" i="13"/>
  <c r="S160" i="13"/>
  <c r="R194" i="13"/>
  <c r="R108" i="13"/>
  <c r="R206" i="13"/>
  <c r="S108" i="13"/>
  <c r="S202" i="13"/>
  <c r="S210" i="13"/>
  <c r="S196" i="13"/>
  <c r="S89" i="13"/>
  <c r="R75" i="13"/>
  <c r="S65" i="13"/>
  <c r="R167" i="13"/>
  <c r="R143" i="13"/>
  <c r="S67" i="13"/>
  <c r="S185" i="13"/>
  <c r="S145" i="13"/>
  <c r="S161" i="13"/>
  <c r="T48" i="13"/>
  <c r="R107" i="13"/>
  <c r="AE5" i="4" l="1"/>
  <c r="AE6" i="4" s="1"/>
  <c r="AE9" i="4"/>
  <c r="D24" i="4" s="1"/>
  <c r="AE7" i="4"/>
  <c r="I58" i="23"/>
  <c r="J55" i="23"/>
  <c r="BA13" i="9"/>
  <c r="AY13" i="9"/>
  <c r="AZ13" i="9" s="1"/>
  <c r="BB13" i="9" s="1"/>
  <c r="AR14" i="9"/>
  <c r="BC13" i="9"/>
  <c r="AY12" i="16"/>
  <c r="BA12" i="16" s="1"/>
  <c r="BE12" i="16" s="1"/>
  <c r="AX12" i="16"/>
  <c r="AV12" i="16"/>
  <c r="AT12" i="16"/>
  <c r="AU12" i="16" s="1"/>
  <c r="AW12" i="16" s="1"/>
  <c r="BG21" i="9"/>
  <c r="BF21" i="9"/>
  <c r="BH21" i="9" s="1"/>
  <c r="BP6" i="15"/>
  <c r="L18" i="15"/>
  <c r="BE40" i="9"/>
  <c r="AV11" i="16"/>
  <c r="AT11" i="16"/>
  <c r="AU11" i="16" s="1"/>
  <c r="AW11" i="16" s="1"/>
  <c r="AY11" i="16"/>
  <c r="BA11" i="16" s="1"/>
  <c r="BE11" i="16" s="1"/>
  <c r="AX11" i="16"/>
  <c r="AB8" i="8"/>
  <c r="AP14" i="16"/>
  <c r="AS13" i="16"/>
  <c r="BB13" i="16"/>
  <c r="BC13" i="16" s="1"/>
  <c r="BD13" i="16" s="1"/>
  <c r="AZ13" i="16"/>
  <c r="BN7" i="15"/>
  <c r="BN8" i="15" s="1"/>
  <c r="BN9" i="15"/>
  <c r="BN12" i="15"/>
  <c r="BN11" i="15"/>
  <c r="O168" i="23"/>
  <c r="H18" i="18"/>
  <c r="H44" i="9"/>
  <c r="N26" i="9"/>
  <c r="P26" i="9" s="1"/>
  <c r="Y7" i="9" s="1"/>
  <c r="C28" i="15"/>
  <c r="C29" i="15"/>
  <c r="E175" i="23"/>
  <c r="O23" i="14"/>
  <c r="BE33" i="9"/>
  <c r="E21" i="8"/>
  <c r="E24" i="8"/>
  <c r="E23" i="8"/>
  <c r="E7" i="5"/>
  <c r="C9" i="5"/>
  <c r="BQ10" i="14"/>
  <c r="F57" i="23"/>
  <c r="F60" i="23" s="1"/>
  <c r="F62" i="23" s="1"/>
  <c r="G28" i="23"/>
  <c r="BO7" i="15"/>
  <c r="BO8" i="15"/>
  <c r="BO10" i="15" s="1"/>
  <c r="BO9" i="15"/>
  <c r="BO12" i="15"/>
  <c r="BO11" i="15"/>
  <c r="C179" i="23"/>
  <c r="O167" i="23"/>
  <c r="BG37" i="9"/>
  <c r="BF37" i="9"/>
  <c r="BH37" i="9" s="1"/>
  <c r="BF32" i="9"/>
  <c r="BG32" i="9"/>
  <c r="BF42" i="9"/>
  <c r="BG42" i="9"/>
  <c r="K30" i="16"/>
  <c r="G32" i="16" s="1"/>
  <c r="K29" i="16"/>
  <c r="C33" i="16" s="1"/>
  <c r="AC15" i="3"/>
  <c r="D13" i="3" s="1"/>
  <c r="D15" i="3" s="1"/>
  <c r="AC14" i="3"/>
  <c r="D18" i="3" s="1"/>
  <c r="H26" i="18"/>
  <c r="H27" i="18"/>
  <c r="BH23" i="9"/>
  <c r="G26" i="14"/>
  <c r="H26" i="14" s="1"/>
  <c r="I26" i="14" s="1"/>
  <c r="J26" i="14" s="1"/>
  <c r="K26" i="14" s="1"/>
  <c r="L26" i="14" s="1"/>
  <c r="M26" i="14" s="1"/>
  <c r="N26" i="14" s="1"/>
  <c r="U4" i="1"/>
  <c r="U5" i="1" s="1"/>
  <c r="T19" i="1"/>
  <c r="T20" i="1" s="1"/>
  <c r="J2" i="4"/>
  <c r="V4" i="3"/>
  <c r="V5" i="3" s="1"/>
  <c r="V20" i="3"/>
  <c r="V21" i="3" s="1"/>
  <c r="H12" i="17"/>
  <c r="H17" i="17" s="1"/>
  <c r="H18" i="17" s="1"/>
  <c r="AC19" i="17" s="1"/>
  <c r="C17" i="17"/>
  <c r="C18" i="17" s="1"/>
  <c r="V19" i="17" s="1"/>
  <c r="V21" i="17" s="1"/>
  <c r="Y21" i="17" s="1"/>
  <c r="AF22" i="17" s="1"/>
  <c r="C15" i="19"/>
  <c r="C17" i="19" s="1"/>
  <c r="C23" i="19" s="1"/>
  <c r="H17" i="19"/>
  <c r="H19" i="19" s="1"/>
  <c r="H27" i="19" s="1"/>
  <c r="V13" i="22"/>
  <c r="V11" i="22"/>
  <c r="V12" i="22"/>
  <c r="V8" i="22"/>
  <c r="V10" i="22" s="1"/>
  <c r="V14" i="22"/>
  <c r="AE8" i="4" l="1"/>
  <c r="D25" i="4" s="1"/>
  <c r="G57" i="23"/>
  <c r="G60" i="23" s="1"/>
  <c r="G62" i="23" s="1"/>
  <c r="H28" i="23"/>
  <c r="AX13" i="16"/>
  <c r="AY13" i="16"/>
  <c r="BA13" i="16" s="1"/>
  <c r="AV13" i="16"/>
  <c r="AT13" i="16"/>
  <c r="AU13" i="16"/>
  <c r="BD13" i="9"/>
  <c r="BG33" i="9"/>
  <c r="BF33" i="9"/>
  <c r="C176" i="23"/>
  <c r="C30" i="15"/>
  <c r="C31" i="15"/>
  <c r="C70" i="23" s="1"/>
  <c r="C76" i="23" s="1"/>
  <c r="C77" i="23" s="1"/>
  <c r="C79" i="23" s="1"/>
  <c r="BN10" i="15"/>
  <c r="AZ14" i="16"/>
  <c r="BB14" i="16"/>
  <c r="BC14" i="16" s="1"/>
  <c r="BD14" i="16" s="1"/>
  <c r="AS14" i="16"/>
  <c r="AP15" i="16"/>
  <c r="BF40" i="9"/>
  <c r="BH40" i="9" s="1"/>
  <c r="BG40" i="9"/>
  <c r="Y9" i="9"/>
  <c r="BQ6" i="15"/>
  <c r="M18" i="15"/>
  <c r="J58" i="23"/>
  <c r="K55" i="23"/>
  <c r="I45" i="9"/>
  <c r="I54" i="9" s="1"/>
  <c r="I47" i="9"/>
  <c r="I48" i="9"/>
  <c r="L48" i="9" s="1"/>
  <c r="N48" i="9" s="1"/>
  <c r="AS6" i="9" s="1"/>
  <c r="BP7" i="15"/>
  <c r="BP11" i="15"/>
  <c r="BP12" i="15"/>
  <c r="BP8" i="15"/>
  <c r="BP10" i="15" s="1"/>
  <c r="BP9" i="15"/>
  <c r="BA14" i="9"/>
  <c r="AR15" i="9"/>
  <c r="AY14" i="9"/>
  <c r="AZ14" i="9" s="1"/>
  <c r="BB14" i="9" s="1"/>
  <c r="BD14" i="9" s="1"/>
  <c r="BC14" i="9"/>
  <c r="C35" i="16"/>
  <c r="C36" i="16"/>
  <c r="BH42" i="9"/>
  <c r="BH32" i="9"/>
  <c r="AF24" i="17"/>
  <c r="AF26" i="17"/>
  <c r="Y24" i="17"/>
  <c r="Y26" i="17"/>
  <c r="Y22" i="17"/>
  <c r="Y23" i="17" s="1"/>
  <c r="Y25" i="17" s="1"/>
  <c r="V15" i="22"/>
  <c r="V17" i="22" s="1"/>
  <c r="E17" i="22" s="1"/>
  <c r="E19" i="22" s="1"/>
  <c r="E21" i="22" s="1"/>
  <c r="A8" i="1"/>
  <c r="F8" i="1"/>
  <c r="F15" i="1" s="1"/>
  <c r="U7" i="1" s="1"/>
  <c r="F8" i="3"/>
  <c r="F15" i="3" s="1"/>
  <c r="V7" i="3" s="1"/>
  <c r="A8" i="3"/>
  <c r="Z20" i="4"/>
  <c r="Z21" i="4" s="1"/>
  <c r="BA8" i="4"/>
  <c r="BA9" i="4" s="1"/>
  <c r="BA10" i="4" s="1"/>
  <c r="BA11" i="4" s="1"/>
  <c r="BA13" i="4" s="1"/>
  <c r="BA21" i="4" s="1"/>
  <c r="Z4" i="4"/>
  <c r="Z5" i="4" s="1"/>
  <c r="V5" i="4"/>
  <c r="K2" i="8"/>
  <c r="AC33" i="17"/>
  <c r="H21" i="17" s="1"/>
  <c r="AC21" i="17"/>
  <c r="AF21" i="17" s="1"/>
  <c r="AF23" i="17" s="1"/>
  <c r="AE10" i="4" l="1"/>
  <c r="AE13" i="4" s="1"/>
  <c r="D18" i="4" s="1"/>
  <c r="BQ9" i="15"/>
  <c r="BQ12" i="15"/>
  <c r="BQ11" i="15"/>
  <c r="BQ7" i="15"/>
  <c r="BQ8" i="15" s="1"/>
  <c r="BQ10" i="15" s="1"/>
  <c r="AW13" i="16"/>
  <c r="K58" i="23"/>
  <c r="L55" i="23"/>
  <c r="BB15" i="16"/>
  <c r="BC15" i="16" s="1"/>
  <c r="BD15" i="16" s="1"/>
  <c r="AZ15" i="16"/>
  <c r="AP16" i="16"/>
  <c r="AS15" i="16"/>
  <c r="BH33" i="9"/>
  <c r="I28" i="23"/>
  <c r="H57" i="23"/>
  <c r="H60" i="23" s="1"/>
  <c r="H62" i="23" s="1"/>
  <c r="Y15" i="9"/>
  <c r="Z18" i="9" s="1"/>
  <c r="AC9" i="9"/>
  <c r="Y14" i="9"/>
  <c r="Y12" i="9"/>
  <c r="AB9" i="9"/>
  <c r="D51" i="9" s="1"/>
  <c r="Y10" i="9"/>
  <c r="Y11" i="9" s="1"/>
  <c r="Y13" i="9" s="1"/>
  <c r="AV14" i="16"/>
  <c r="AY14" i="16"/>
  <c r="BA14" i="16" s="1"/>
  <c r="BE14" i="16" s="1"/>
  <c r="AU14" i="16"/>
  <c r="AW14" i="16" s="1"/>
  <c r="AX14" i="16"/>
  <c r="AT14" i="16"/>
  <c r="C84" i="23"/>
  <c r="C83" i="23"/>
  <c r="AY15" i="9"/>
  <c r="AZ15" i="9" s="1"/>
  <c r="BB15" i="9" s="1"/>
  <c r="AR16" i="9"/>
  <c r="BA15" i="9"/>
  <c r="BC15" i="9"/>
  <c r="L47" i="9"/>
  <c r="I49" i="9"/>
  <c r="N18" i="15"/>
  <c r="BS6" i="15" s="1"/>
  <c r="BR6" i="15"/>
  <c r="D22" i="15"/>
  <c r="D24" i="15" s="1"/>
  <c r="BE13" i="16"/>
  <c r="C41" i="16"/>
  <c r="C40" i="16"/>
  <c r="BH10" i="9"/>
  <c r="AF25" i="17"/>
  <c r="AF27" i="17" s="1"/>
  <c r="AC29" i="17" s="1"/>
  <c r="AC31" i="17" s="1"/>
  <c r="Y27" i="17"/>
  <c r="V29" i="17" s="1"/>
  <c r="V31" i="17" s="1"/>
  <c r="V33" i="17" s="1"/>
  <c r="C21" i="17" s="1"/>
  <c r="U14" i="1"/>
  <c r="U13" i="1"/>
  <c r="U12" i="1"/>
  <c r="U8" i="1"/>
  <c r="U10" i="1" s="1"/>
  <c r="U11" i="1"/>
  <c r="W4" i="8"/>
  <c r="W5" i="8" s="1"/>
  <c r="W8" i="8" s="1"/>
  <c r="W10" i="8" s="1"/>
  <c r="W15" i="8" s="1"/>
  <c r="W17" i="8" s="1"/>
  <c r="W20" i="8"/>
  <c r="W21" i="8" s="1"/>
  <c r="A8" i="4"/>
  <c r="F8" i="4"/>
  <c r="F15" i="4" s="1"/>
  <c r="Z6" i="4" s="1"/>
  <c r="V14" i="3"/>
  <c r="V11" i="3"/>
  <c r="V8" i="3"/>
  <c r="V10" i="3" s="1"/>
  <c r="V12" i="3"/>
  <c r="V13" i="3"/>
  <c r="BA22" i="4" l="1"/>
  <c r="BA24" i="4" s="1"/>
  <c r="BA27" i="4" s="1"/>
  <c r="AE14" i="4"/>
  <c r="D13" i="4" s="1"/>
  <c r="D15" i="4" s="1"/>
  <c r="BS11" i="15"/>
  <c r="BS9" i="15"/>
  <c r="BS7" i="15"/>
  <c r="BS8" i="15" s="1"/>
  <c r="BS10" i="15" s="1"/>
  <c r="BS12" i="15"/>
  <c r="AS16" i="16"/>
  <c r="AZ16" i="16"/>
  <c r="BB16" i="16"/>
  <c r="BC16" i="16" s="1"/>
  <c r="BD16" i="16" s="1"/>
  <c r="AP17" i="16"/>
  <c r="BC16" i="9"/>
  <c r="AR17" i="9"/>
  <c r="BA16" i="9"/>
  <c r="AY16" i="9"/>
  <c r="AZ16" i="9" s="1"/>
  <c r="J28" i="23"/>
  <c r="I57" i="23"/>
  <c r="I60" i="23" s="1"/>
  <c r="I62" i="23" s="1"/>
  <c r="D29" i="15"/>
  <c r="D28" i="15"/>
  <c r="L49" i="9"/>
  <c r="N47" i="9"/>
  <c r="BD15" i="9"/>
  <c r="BR7" i="15"/>
  <c r="BR8" i="15" s="1"/>
  <c r="BR9" i="15"/>
  <c r="BR12" i="15"/>
  <c r="BR11" i="15"/>
  <c r="C178" i="23"/>
  <c r="C181" i="23" s="1"/>
  <c r="C86" i="23"/>
  <c r="D81" i="23" s="1"/>
  <c r="D54" i="9"/>
  <c r="D56" i="9"/>
  <c r="AA8" i="9"/>
  <c r="AB8" i="9" s="1"/>
  <c r="AA7" i="9"/>
  <c r="AY15" i="16"/>
  <c r="BA15" i="16" s="1"/>
  <c r="AV15" i="16"/>
  <c r="AX15" i="16"/>
  <c r="AT15" i="16"/>
  <c r="AU15" i="16" s="1"/>
  <c r="AW15" i="16" s="1"/>
  <c r="L58" i="23"/>
  <c r="M55" i="23"/>
  <c r="AQ5" i="16"/>
  <c r="X12" i="16"/>
  <c r="V15" i="3"/>
  <c r="V17" i="3" s="1"/>
  <c r="D17" i="3" s="1"/>
  <c r="D19" i="3" s="1"/>
  <c r="D21" i="3" s="1"/>
  <c r="U15" i="1"/>
  <c r="U17" i="1" s="1"/>
  <c r="D17" i="1" s="1"/>
  <c r="D19" i="1" s="1"/>
  <c r="D21" i="1" s="1"/>
  <c r="Z12" i="4"/>
  <c r="Z14" i="4"/>
  <c r="Z7" i="4"/>
  <c r="Z8" i="4" s="1"/>
  <c r="Z10" i="4" s="1"/>
  <c r="Z13" i="4"/>
  <c r="Z11" i="4"/>
  <c r="N55" i="23" l="1"/>
  <c r="N58" i="23" s="1"/>
  <c r="M58" i="23"/>
  <c r="BE15" i="16"/>
  <c r="AS5" i="9"/>
  <c r="AS7" i="9" s="1"/>
  <c r="N49" i="9"/>
  <c r="D48" i="9" s="1"/>
  <c r="D49" i="9" s="1"/>
  <c r="BC17" i="9"/>
  <c r="AR18" i="9"/>
  <c r="AY17" i="9"/>
  <c r="AZ17" i="9" s="1"/>
  <c r="BB17" i="9" s="1"/>
  <c r="BD17" i="9" s="1"/>
  <c r="BA17" i="9"/>
  <c r="AA9" i="9"/>
  <c r="AB7" i="9"/>
  <c r="K28" i="23"/>
  <c r="J57" i="23"/>
  <c r="J60" i="23" s="1"/>
  <c r="J62" i="23" s="1"/>
  <c r="AV16" i="16"/>
  <c r="AX16" i="16"/>
  <c r="AY16" i="16"/>
  <c r="BA16" i="16" s="1"/>
  <c r="BE16" i="16" s="1"/>
  <c r="AT16" i="16"/>
  <c r="AU16" i="16" s="1"/>
  <c r="AW16" i="16" s="1"/>
  <c r="BR10" i="15"/>
  <c r="D31" i="15"/>
  <c r="D70" i="23" s="1"/>
  <c r="D76" i="23" s="1"/>
  <c r="D77" i="23" s="1"/>
  <c r="D79" i="23" s="1"/>
  <c r="D83" i="23" s="1"/>
  <c r="D176" i="23"/>
  <c r="D30" i="15"/>
  <c r="BB16" i="9"/>
  <c r="BD16" i="9" s="1"/>
  <c r="AZ17" i="16"/>
  <c r="BB17" i="16"/>
  <c r="BC17" i="16" s="1"/>
  <c r="BD17" i="16" s="1"/>
  <c r="AS17" i="16"/>
  <c r="AP18" i="16"/>
  <c r="D178" i="23"/>
  <c r="D181" i="23" s="1"/>
  <c r="D86" i="23"/>
  <c r="X13" i="16"/>
  <c r="X14" i="16" s="1"/>
  <c r="X16" i="16" s="1"/>
  <c r="X15" i="16"/>
  <c r="X17" i="16"/>
  <c r="X18" i="16"/>
  <c r="Z15" i="4"/>
  <c r="Z17" i="4" s="1"/>
  <c r="D17" i="4" s="1"/>
  <c r="D19" i="4" s="1"/>
  <c r="D21" i="4" s="1"/>
  <c r="AP19" i="16" l="1"/>
  <c r="BB18" i="16"/>
  <c r="BC18" i="16" s="1"/>
  <c r="BD18" i="16" s="1"/>
  <c r="AZ18" i="16"/>
  <c r="AS18" i="16"/>
  <c r="AT17" i="16"/>
  <c r="AU17" i="16" s="1"/>
  <c r="AX17" i="16"/>
  <c r="AV17" i="16"/>
  <c r="AY17" i="16"/>
  <c r="BA17" i="16" s="1"/>
  <c r="BE17" i="16" s="1"/>
  <c r="E22" i="15"/>
  <c r="E24" i="15" s="1"/>
  <c r="AX45" i="9"/>
  <c r="BI45" i="9" s="1"/>
  <c r="BJ45" i="9" s="1"/>
  <c r="AX44" i="9"/>
  <c r="BI44" i="9" s="1"/>
  <c r="BJ44" i="9" s="1"/>
  <c r="AX43" i="9"/>
  <c r="BI43" i="9" s="1"/>
  <c r="BJ43" i="9" s="1"/>
  <c r="AX22" i="9"/>
  <c r="BI22" i="9" s="1"/>
  <c r="BJ22" i="9" s="1"/>
  <c r="AX37" i="9"/>
  <c r="BI37" i="9" s="1"/>
  <c r="BJ37" i="9" s="1"/>
  <c r="AX38" i="9"/>
  <c r="BI38" i="9" s="1"/>
  <c r="BJ38" i="9" s="1"/>
  <c r="AX15" i="9"/>
  <c r="BI15" i="9" s="1"/>
  <c r="BJ15" i="9" s="1"/>
  <c r="AX35" i="9"/>
  <c r="BI35" i="9" s="1"/>
  <c r="BJ35" i="9" s="1"/>
  <c r="AX20" i="9"/>
  <c r="BI20" i="9" s="1"/>
  <c r="BJ20" i="9" s="1"/>
  <c r="AX26" i="9"/>
  <c r="BI26" i="9" s="1"/>
  <c r="BJ26" i="9" s="1"/>
  <c r="AX46" i="9"/>
  <c r="BI46" i="9" s="1"/>
  <c r="BJ46" i="9" s="1"/>
  <c r="AX23" i="9"/>
  <c r="BI23" i="9" s="1"/>
  <c r="BJ23" i="9" s="1"/>
  <c r="AX12" i="9"/>
  <c r="BI12" i="9" s="1"/>
  <c r="BJ12" i="9" s="1"/>
  <c r="AX14" i="9"/>
  <c r="BI14" i="9" s="1"/>
  <c r="BJ14" i="9" s="1"/>
  <c r="AX24" i="9"/>
  <c r="BI24" i="9" s="1"/>
  <c r="BJ24" i="9" s="1"/>
  <c r="AX42" i="9"/>
  <c r="BI42" i="9" s="1"/>
  <c r="BJ42" i="9" s="1"/>
  <c r="AX13" i="9"/>
  <c r="BI13" i="9" s="1"/>
  <c r="BJ13" i="9" s="1"/>
  <c r="AX18" i="9"/>
  <c r="BI18" i="9" s="1"/>
  <c r="BJ18" i="9" s="1"/>
  <c r="AX34" i="9"/>
  <c r="BI34" i="9" s="1"/>
  <c r="BJ34" i="9" s="1"/>
  <c r="AX25" i="9"/>
  <c r="BI25" i="9" s="1"/>
  <c r="BJ25" i="9" s="1"/>
  <c r="AX41" i="9"/>
  <c r="BI41" i="9" s="1"/>
  <c r="BJ41" i="9" s="1"/>
  <c r="AX31" i="9"/>
  <c r="BI31" i="9" s="1"/>
  <c r="BJ31" i="9" s="1"/>
  <c r="AX17" i="9"/>
  <c r="BI17" i="9" s="1"/>
  <c r="BJ17" i="9" s="1"/>
  <c r="AX21" i="9"/>
  <c r="BI21" i="9" s="1"/>
  <c r="BJ21" i="9" s="1"/>
  <c r="AX36" i="9"/>
  <c r="BI36" i="9" s="1"/>
  <c r="BJ36" i="9" s="1"/>
  <c r="AX40" i="9"/>
  <c r="BI40" i="9" s="1"/>
  <c r="BJ40" i="9" s="1"/>
  <c r="AX27" i="9"/>
  <c r="BI27" i="9" s="1"/>
  <c r="BJ27" i="9" s="1"/>
  <c r="AX39" i="9"/>
  <c r="BI39" i="9" s="1"/>
  <c r="BJ39" i="9" s="1"/>
  <c r="AX33" i="9"/>
  <c r="BI33" i="9" s="1"/>
  <c r="BJ33" i="9" s="1"/>
  <c r="AX16" i="9"/>
  <c r="BI16" i="9" s="1"/>
  <c r="BJ16" i="9" s="1"/>
  <c r="AX30" i="9"/>
  <c r="BI30" i="9" s="1"/>
  <c r="BJ30" i="9" s="1"/>
  <c r="AX32" i="9"/>
  <c r="BI32" i="9" s="1"/>
  <c r="BJ32" i="9" s="1"/>
  <c r="AX29" i="9"/>
  <c r="BI29" i="9" s="1"/>
  <c r="BJ29" i="9" s="1"/>
  <c r="AX19" i="9"/>
  <c r="BI19" i="9" s="1"/>
  <c r="BJ19" i="9" s="1"/>
  <c r="AX28" i="9"/>
  <c r="BI28" i="9" s="1"/>
  <c r="BJ28" i="9" s="1"/>
  <c r="AX11" i="9"/>
  <c r="BI11" i="9" s="1"/>
  <c r="L28" i="23"/>
  <c r="K57" i="23"/>
  <c r="K60" i="23" s="1"/>
  <c r="K62" i="23" s="1"/>
  <c r="BC18" i="9"/>
  <c r="AR19" i="9"/>
  <c r="BA18" i="9"/>
  <c r="AY18" i="9"/>
  <c r="AZ18" i="9" s="1"/>
  <c r="BB18" i="9" s="1"/>
  <c r="BD18" i="9" s="1"/>
  <c r="D84" i="23"/>
  <c r="E81" i="23"/>
  <c r="X23" i="16"/>
  <c r="C43" i="16" s="1"/>
  <c r="C46" i="16" s="1"/>
  <c r="X26" i="16"/>
  <c r="AR20" i="9" l="1"/>
  <c r="BC19" i="9"/>
  <c r="AY19" i="9"/>
  <c r="AZ19" i="9" s="1"/>
  <c r="BB19" i="9" s="1"/>
  <c r="BA19" i="9"/>
  <c r="AT18" i="16"/>
  <c r="AU18" i="16" s="1"/>
  <c r="AX18" i="16"/>
  <c r="AY18" i="16"/>
  <c r="BA18" i="16" s="1"/>
  <c r="AV18" i="16"/>
  <c r="AW18" i="16" s="1"/>
  <c r="M28" i="23"/>
  <c r="L57" i="23"/>
  <c r="L60" i="23" s="1"/>
  <c r="L62" i="23" s="1"/>
  <c r="BJ11" i="9"/>
  <c r="BI10" i="9"/>
  <c r="BJ10" i="9" s="1"/>
  <c r="E28" i="15"/>
  <c r="E29" i="15"/>
  <c r="AW17" i="16"/>
  <c r="BB19" i="16"/>
  <c r="BC19" i="16" s="1"/>
  <c r="BD19" i="16" s="1"/>
  <c r="AS19" i="16"/>
  <c r="AZ19" i="16"/>
  <c r="AP20" i="16"/>
  <c r="BB20" i="16" l="1"/>
  <c r="BC20" i="16" s="1"/>
  <c r="BD20" i="16" s="1"/>
  <c r="AZ20" i="16"/>
  <c r="AS20" i="16"/>
  <c r="AP21" i="16"/>
  <c r="BE18" i="16"/>
  <c r="BD19" i="9"/>
  <c r="AV19" i="16"/>
  <c r="AY19" i="16"/>
  <c r="BA19" i="16" s="1"/>
  <c r="BE19" i="16" s="1"/>
  <c r="AT19" i="16"/>
  <c r="AU19" i="16" s="1"/>
  <c r="AW19" i="16" s="1"/>
  <c r="AX19" i="16"/>
  <c r="E31" i="15"/>
  <c r="E70" i="23" s="1"/>
  <c r="E76" i="23" s="1"/>
  <c r="E77" i="23" s="1"/>
  <c r="E79" i="23" s="1"/>
  <c r="E176" i="23"/>
  <c r="E30" i="15"/>
  <c r="N28" i="23"/>
  <c r="N57" i="23" s="1"/>
  <c r="N60" i="23" s="1"/>
  <c r="N62" i="23" s="1"/>
  <c r="M57" i="23"/>
  <c r="M60" i="23" s="1"/>
  <c r="M62" i="23" s="1"/>
  <c r="BC20" i="9"/>
  <c r="BA20" i="9"/>
  <c r="AY20" i="9"/>
  <c r="AZ20" i="9" s="1"/>
  <c r="BB20" i="9" s="1"/>
  <c r="BD20" i="9" s="1"/>
  <c r="AR21" i="9"/>
  <c r="AZ21" i="16" l="1"/>
  <c r="BB21" i="16"/>
  <c r="BC21" i="16" s="1"/>
  <c r="BD21" i="16" s="1"/>
  <c r="AP22" i="16"/>
  <c r="AS21" i="16"/>
  <c r="AR22" i="9"/>
  <c r="AY21" i="9"/>
  <c r="AZ21" i="9" s="1"/>
  <c r="BB21" i="9" s="1"/>
  <c r="BD21" i="9" s="1"/>
  <c r="BA21" i="9"/>
  <c r="BC21" i="9"/>
  <c r="F22" i="15"/>
  <c r="F24" i="15" s="1"/>
  <c r="AT20" i="16"/>
  <c r="AU20" i="16" s="1"/>
  <c r="AW20" i="16" s="1"/>
  <c r="AV20" i="16"/>
  <c r="AY20" i="16"/>
  <c r="BA20" i="16" s="1"/>
  <c r="BE20" i="16" s="1"/>
  <c r="AX20" i="16"/>
  <c r="E84" i="23"/>
  <c r="E83" i="23"/>
  <c r="E178" i="23" l="1"/>
  <c r="E181" i="23" s="1"/>
  <c r="E86" i="23"/>
  <c r="F81" i="23" s="1"/>
  <c r="AY21" i="16"/>
  <c r="BA21" i="16" s="1"/>
  <c r="BE21" i="16" s="1"/>
  <c r="AX21" i="16"/>
  <c r="AT21" i="16"/>
  <c r="AV21" i="16"/>
  <c r="AU21" i="16"/>
  <c r="AP23" i="16"/>
  <c r="AZ22" i="16"/>
  <c r="BB22" i="16"/>
  <c r="BC22" i="16" s="1"/>
  <c r="BD22" i="16" s="1"/>
  <c r="AS22" i="16"/>
  <c r="F29" i="15"/>
  <c r="F28" i="15"/>
  <c r="AY22" i="9"/>
  <c r="AZ22" i="9" s="1"/>
  <c r="BB22" i="9" s="1"/>
  <c r="BD22" i="9" s="1"/>
  <c r="AR23" i="9"/>
  <c r="BA22" i="9"/>
  <c r="BC22" i="9"/>
  <c r="AS23" i="16" l="1"/>
  <c r="AP24" i="16"/>
  <c r="BB23" i="16"/>
  <c r="BC23" i="16" s="1"/>
  <c r="BD23" i="16" s="1"/>
  <c r="AZ23" i="16"/>
  <c r="BC23" i="9"/>
  <c r="BA23" i="9"/>
  <c r="AR24" i="9"/>
  <c r="AY23" i="9"/>
  <c r="AZ23" i="9" s="1"/>
  <c r="AY22" i="16"/>
  <c r="BA22" i="16" s="1"/>
  <c r="BE22" i="16" s="1"/>
  <c r="AT22" i="16"/>
  <c r="AU22" i="16" s="1"/>
  <c r="AW22" i="16" s="1"/>
  <c r="AX22" i="16"/>
  <c r="AV22" i="16"/>
  <c r="AW21" i="16"/>
  <c r="F31" i="15"/>
  <c r="F70" i="23" s="1"/>
  <c r="F76" i="23" s="1"/>
  <c r="F77" i="23" s="1"/>
  <c r="F79" i="23" s="1"/>
  <c r="F83" i="23" s="1"/>
  <c r="F86" i="23" s="1"/>
  <c r="F176" i="23"/>
  <c r="F30" i="15"/>
  <c r="BC24" i="9" l="1"/>
  <c r="AR25" i="9"/>
  <c r="BA24" i="9"/>
  <c r="AY24" i="9"/>
  <c r="AZ24" i="9" s="1"/>
  <c r="BB24" i="9" s="1"/>
  <c r="BD24" i="9" s="1"/>
  <c r="AS24" i="16"/>
  <c r="AP25" i="16"/>
  <c r="AZ24" i="16"/>
  <c r="BB24" i="16"/>
  <c r="BC24" i="16" s="1"/>
  <c r="BD24" i="16" s="1"/>
  <c r="F178" i="23"/>
  <c r="F181" i="23" s="1"/>
  <c r="AX23" i="16"/>
  <c r="AV23" i="16"/>
  <c r="AT23" i="16"/>
  <c r="AU23" i="16" s="1"/>
  <c r="AW23" i="16" s="1"/>
  <c r="AY23" i="16"/>
  <c r="BA23" i="16" s="1"/>
  <c r="BE23" i="16" s="1"/>
  <c r="G22" i="15"/>
  <c r="G24" i="15" s="1"/>
  <c r="BB23" i="9"/>
  <c r="BD23" i="9" s="1"/>
  <c r="F84" i="23"/>
  <c r="G81" i="23"/>
  <c r="G28" i="15" l="1"/>
  <c r="G29" i="15"/>
  <c r="AR26" i="9"/>
  <c r="AY25" i="9"/>
  <c r="AZ25" i="9" s="1"/>
  <c r="BC25" i="9"/>
  <c r="BA25" i="9"/>
  <c r="AP26" i="16"/>
  <c r="AS25" i="16"/>
  <c r="AZ25" i="16"/>
  <c r="BB25" i="16"/>
  <c r="BC25" i="16" s="1"/>
  <c r="BD25" i="16" s="1"/>
  <c r="AY24" i="16"/>
  <c r="BA24" i="16" s="1"/>
  <c r="BE24" i="16" s="1"/>
  <c r="AX24" i="16"/>
  <c r="AT24" i="16"/>
  <c r="AV24" i="16"/>
  <c r="AU24" i="16"/>
  <c r="AT25" i="16" l="1"/>
  <c r="AU25" i="16" s="1"/>
  <c r="AY25" i="16"/>
  <c r="BA25" i="16" s="1"/>
  <c r="BE25" i="16" s="1"/>
  <c r="AX25" i="16"/>
  <c r="AV25" i="16"/>
  <c r="BB25" i="9"/>
  <c r="BD25" i="9" s="1"/>
  <c r="AW24" i="16"/>
  <c r="AS26" i="16"/>
  <c r="AP27" i="16"/>
  <c r="AZ26" i="16"/>
  <c r="BB26" i="16"/>
  <c r="BC26" i="16" s="1"/>
  <c r="BD26" i="16" s="1"/>
  <c r="AR27" i="9"/>
  <c r="BC26" i="9"/>
  <c r="AY26" i="9"/>
  <c r="AZ26" i="9" s="1"/>
  <c r="BA26" i="9"/>
  <c r="G31" i="15"/>
  <c r="G70" i="23" s="1"/>
  <c r="G76" i="23" s="1"/>
  <c r="G77" i="23" s="1"/>
  <c r="G79" i="23" s="1"/>
  <c r="G176" i="23"/>
  <c r="G30" i="15"/>
  <c r="AP28" i="16" l="1"/>
  <c r="AS27" i="16"/>
  <c r="BB27" i="16"/>
  <c r="BC27" i="16" s="1"/>
  <c r="BD27" i="16" s="1"/>
  <c r="AZ27" i="16"/>
  <c r="G83" i="23"/>
  <c r="G84" i="23"/>
  <c r="BA27" i="9"/>
  <c r="BC27" i="9"/>
  <c r="AY27" i="9"/>
  <c r="AZ27" i="9" s="1"/>
  <c r="AR28" i="9"/>
  <c r="AX26" i="16"/>
  <c r="AV26" i="16"/>
  <c r="AY26" i="16"/>
  <c r="BA26" i="16" s="1"/>
  <c r="BE26" i="16" s="1"/>
  <c r="AT26" i="16"/>
  <c r="AU26" i="16" s="1"/>
  <c r="AW26" i="16" s="1"/>
  <c r="H22" i="15"/>
  <c r="H24" i="15" s="1"/>
  <c r="BB26" i="9"/>
  <c r="BD26" i="9" s="1"/>
  <c r="AW25" i="16"/>
  <c r="AY28" i="9" l="1"/>
  <c r="AZ28" i="9" s="1"/>
  <c r="BA28" i="9"/>
  <c r="BC28" i="9"/>
  <c r="AR29" i="9"/>
  <c r="AY27" i="16"/>
  <c r="BA27" i="16" s="1"/>
  <c r="BE27" i="16" s="1"/>
  <c r="AT27" i="16"/>
  <c r="AU27" i="16" s="1"/>
  <c r="AX27" i="16"/>
  <c r="AV27" i="16"/>
  <c r="H28" i="15"/>
  <c r="H29" i="15"/>
  <c r="BB27" i="9"/>
  <c r="BD27" i="9" s="1"/>
  <c r="G86" i="23"/>
  <c r="H81" i="23" s="1"/>
  <c r="G178" i="23"/>
  <c r="G181" i="23" s="1"/>
  <c r="AP29" i="16"/>
  <c r="AS28" i="16"/>
  <c r="BB28" i="16"/>
  <c r="BC28" i="16" s="1"/>
  <c r="BD28" i="16" s="1"/>
  <c r="AZ28" i="16"/>
  <c r="AW27" i="16" l="1"/>
  <c r="BC29" i="9"/>
  <c r="BA29" i="9"/>
  <c r="AY29" i="9"/>
  <c r="AZ29" i="9" s="1"/>
  <c r="BB29" i="9" s="1"/>
  <c r="AR30" i="9"/>
  <c r="AT28" i="16"/>
  <c r="AU28" i="16" s="1"/>
  <c r="AW28" i="16" s="1"/>
  <c r="AX28" i="16"/>
  <c r="AV28" i="16"/>
  <c r="AY28" i="16"/>
  <c r="BA28" i="16" s="1"/>
  <c r="BE28" i="16" s="1"/>
  <c r="AS29" i="16"/>
  <c r="AZ29" i="16"/>
  <c r="AP30" i="16"/>
  <c r="BB29" i="16"/>
  <c r="BC29" i="16" s="1"/>
  <c r="BD29" i="16" s="1"/>
  <c r="H31" i="15"/>
  <c r="H70" i="23" s="1"/>
  <c r="H76" i="23" s="1"/>
  <c r="H77" i="23" s="1"/>
  <c r="H79" i="23" s="1"/>
  <c r="H176" i="23"/>
  <c r="H30" i="15"/>
  <c r="BB28" i="9"/>
  <c r="BD28" i="9" s="1"/>
  <c r="H84" i="23" l="1"/>
  <c r="H83" i="23"/>
  <c r="I22" i="15"/>
  <c r="I24" i="15" s="1"/>
  <c r="BD29" i="9"/>
  <c r="AS30" i="16"/>
  <c r="BB30" i="16"/>
  <c r="BC30" i="16" s="1"/>
  <c r="BD30" i="16" s="1"/>
  <c r="AZ30" i="16"/>
  <c r="AP31" i="16"/>
  <c r="AX29" i="16"/>
  <c r="AY29" i="16"/>
  <c r="BA29" i="16" s="1"/>
  <c r="BE29" i="16" s="1"/>
  <c r="AV29" i="16"/>
  <c r="AT29" i="16"/>
  <c r="AU29" i="16" s="1"/>
  <c r="AY30" i="9"/>
  <c r="AZ30" i="9" s="1"/>
  <c r="BB30" i="9" s="1"/>
  <c r="BD30" i="9" s="1"/>
  <c r="AR31" i="9"/>
  <c r="BC30" i="9"/>
  <c r="BA30" i="9"/>
  <c r="BC31" i="9" l="1"/>
  <c r="AR32" i="9"/>
  <c r="AY31" i="9"/>
  <c r="AZ31" i="9" s="1"/>
  <c r="BB31" i="9" s="1"/>
  <c r="BD31" i="9" s="1"/>
  <c r="BA31" i="9"/>
  <c r="I29" i="15"/>
  <c r="I28" i="15"/>
  <c r="AY30" i="16"/>
  <c r="BA30" i="16" s="1"/>
  <c r="BE30" i="16" s="1"/>
  <c r="AV30" i="16"/>
  <c r="AX30" i="16"/>
  <c r="AT30" i="16"/>
  <c r="AU30" i="16" s="1"/>
  <c r="AW30" i="16" s="1"/>
  <c r="H178" i="23"/>
  <c r="H181" i="23" s="1"/>
  <c r="H86" i="23"/>
  <c r="I81" i="23" s="1"/>
  <c r="AW29" i="16"/>
  <c r="AS31" i="16"/>
  <c r="AZ31" i="16"/>
  <c r="AP32" i="16"/>
  <c r="BB31" i="16"/>
  <c r="BC31" i="16" s="1"/>
  <c r="BD31" i="16" s="1"/>
  <c r="AY31" i="16" l="1"/>
  <c r="BA31" i="16" s="1"/>
  <c r="BE31" i="16" s="1"/>
  <c r="AX31" i="16"/>
  <c r="AT31" i="16"/>
  <c r="AU31" i="16" s="1"/>
  <c r="AW31" i="16" s="1"/>
  <c r="AV31" i="16"/>
  <c r="I31" i="15"/>
  <c r="I70" i="23" s="1"/>
  <c r="I76" i="23" s="1"/>
  <c r="I77" i="23" s="1"/>
  <c r="I79" i="23" s="1"/>
  <c r="I176" i="23"/>
  <c r="I30" i="15"/>
  <c r="BC32" i="9"/>
  <c r="AR33" i="9"/>
  <c r="AY32" i="9"/>
  <c r="AZ32" i="9" s="1"/>
  <c r="BB32" i="9" s="1"/>
  <c r="BD32" i="9" s="1"/>
  <c r="BA32" i="9"/>
  <c r="AZ32" i="16"/>
  <c r="AS32" i="16"/>
  <c r="AP33" i="16"/>
  <c r="BB32" i="16"/>
  <c r="BC32" i="16" s="1"/>
  <c r="BD32" i="16" s="1"/>
  <c r="J22" i="15" l="1"/>
  <c r="J24" i="15" s="1"/>
  <c r="AZ33" i="16"/>
  <c r="AP34" i="16"/>
  <c r="AS33" i="16"/>
  <c r="BB33" i="16"/>
  <c r="BC33" i="16" s="1"/>
  <c r="BD33" i="16" s="1"/>
  <c r="AY32" i="16"/>
  <c r="BA32" i="16" s="1"/>
  <c r="BE32" i="16" s="1"/>
  <c r="AT32" i="16"/>
  <c r="AU32" i="16" s="1"/>
  <c r="AW32" i="16" s="1"/>
  <c r="AV32" i="16"/>
  <c r="AX32" i="16"/>
  <c r="BA33" i="9"/>
  <c r="BC33" i="9"/>
  <c r="AR34" i="9"/>
  <c r="AY33" i="9"/>
  <c r="AZ33" i="9" s="1"/>
  <c r="BB33" i="9" s="1"/>
  <c r="BD33" i="9" s="1"/>
  <c r="I84" i="23"/>
  <c r="I83" i="23"/>
  <c r="AZ34" i="16" l="1"/>
  <c r="AP35" i="16"/>
  <c r="BB34" i="16"/>
  <c r="BC34" i="16" s="1"/>
  <c r="BD34" i="16" s="1"/>
  <c r="AS34" i="16"/>
  <c r="BA34" i="9"/>
  <c r="AY34" i="9"/>
  <c r="AZ34" i="9" s="1"/>
  <c r="BB34" i="9" s="1"/>
  <c r="BC34" i="9"/>
  <c r="AR35" i="9"/>
  <c r="I178" i="23"/>
  <c r="I181" i="23" s="1"/>
  <c r="I86" i="23"/>
  <c r="J81" i="23" s="1"/>
  <c r="AT33" i="16"/>
  <c r="AU33" i="16" s="1"/>
  <c r="AW33" i="16" s="1"/>
  <c r="AX33" i="16"/>
  <c r="AY33" i="16"/>
  <c r="BA33" i="16" s="1"/>
  <c r="BE33" i="16" s="1"/>
  <c r="AV33" i="16"/>
  <c r="J28" i="15"/>
  <c r="J29" i="15"/>
  <c r="J31" i="15" l="1"/>
  <c r="J70" i="23" s="1"/>
  <c r="J76" i="23" s="1"/>
  <c r="J77" i="23" s="1"/>
  <c r="J79" i="23" s="1"/>
  <c r="J176" i="23"/>
  <c r="J30" i="15"/>
  <c r="AY35" i="9"/>
  <c r="AZ35" i="9" s="1"/>
  <c r="BC35" i="9"/>
  <c r="BA35" i="9"/>
  <c r="AR36" i="9"/>
  <c r="AV34" i="16"/>
  <c r="AY34" i="16"/>
  <c r="BA34" i="16" s="1"/>
  <c r="BE34" i="16" s="1"/>
  <c r="AT34" i="16"/>
  <c r="AU34" i="16" s="1"/>
  <c r="AW34" i="16" s="1"/>
  <c r="AX34" i="16"/>
  <c r="BD34" i="9"/>
  <c r="BB35" i="16"/>
  <c r="BC35" i="16" s="1"/>
  <c r="BD35" i="16" s="1"/>
  <c r="AS35" i="16"/>
  <c r="AP36" i="16"/>
  <c r="AZ35" i="16"/>
  <c r="AS36" i="16" l="1"/>
  <c r="AP37" i="16"/>
  <c r="AZ36" i="16"/>
  <c r="BB36" i="16"/>
  <c r="BC36" i="16" s="1"/>
  <c r="BD36" i="16" s="1"/>
  <c r="BB35" i="9"/>
  <c r="BD35" i="9" s="1"/>
  <c r="AY35" i="16"/>
  <c r="BA35" i="16" s="1"/>
  <c r="BE35" i="16" s="1"/>
  <c r="AT35" i="16"/>
  <c r="AU35" i="16" s="1"/>
  <c r="AW35" i="16" s="1"/>
  <c r="AV35" i="16"/>
  <c r="AX35" i="16"/>
  <c r="AY36" i="9"/>
  <c r="AZ36" i="9" s="1"/>
  <c r="BA36" i="9"/>
  <c r="BC36" i="9"/>
  <c r="AR37" i="9"/>
  <c r="K22" i="15"/>
  <c r="K24" i="15" s="1"/>
  <c r="J83" i="23"/>
  <c r="J84" i="23"/>
  <c r="BB36" i="9" l="1"/>
  <c r="BD36" i="9" s="1"/>
  <c r="K29" i="15"/>
  <c r="K28" i="15"/>
  <c r="BC37" i="9"/>
  <c r="AR38" i="9"/>
  <c r="AY37" i="9"/>
  <c r="AZ37" i="9" s="1"/>
  <c r="BB37" i="9" s="1"/>
  <c r="BD37" i="9" s="1"/>
  <c r="BA37" i="9"/>
  <c r="BB37" i="16"/>
  <c r="BC37" i="16" s="1"/>
  <c r="BD37" i="16" s="1"/>
  <c r="AP38" i="16"/>
  <c r="AS37" i="16"/>
  <c r="AZ37" i="16"/>
  <c r="J86" i="23"/>
  <c r="K81" i="23" s="1"/>
  <c r="J178" i="23"/>
  <c r="J181" i="23" s="1"/>
  <c r="AT36" i="16"/>
  <c r="AU36" i="16" s="1"/>
  <c r="AW36" i="16" s="1"/>
  <c r="AY36" i="16"/>
  <c r="BA36" i="16" s="1"/>
  <c r="BE36" i="16" s="1"/>
  <c r="AV36" i="16"/>
  <c r="AX36" i="16"/>
  <c r="K176" i="23" l="1"/>
  <c r="K31" i="15"/>
  <c r="K70" i="23" s="1"/>
  <c r="K76" i="23" s="1"/>
  <c r="K77" i="23" s="1"/>
  <c r="K79" i="23" s="1"/>
  <c r="K30" i="15"/>
  <c r="AV37" i="16"/>
  <c r="AY37" i="16"/>
  <c r="BA37" i="16" s="1"/>
  <c r="BE37" i="16" s="1"/>
  <c r="AU37" i="16"/>
  <c r="AW37" i="16" s="1"/>
  <c r="AX37" i="16"/>
  <c r="AT37" i="16"/>
  <c r="AS38" i="16"/>
  <c r="AP39" i="16"/>
  <c r="AZ38" i="16"/>
  <c r="BB38" i="16"/>
  <c r="BC38" i="16" s="1"/>
  <c r="BD38" i="16" s="1"/>
  <c r="BA38" i="9"/>
  <c r="BC38" i="9"/>
  <c r="AR39" i="9"/>
  <c r="AY38" i="9"/>
  <c r="AZ38" i="9" s="1"/>
  <c r="BB38" i="9" s="1"/>
  <c r="BD38" i="9" l="1"/>
  <c r="AR40" i="9"/>
  <c r="AY39" i="9"/>
  <c r="AZ39" i="9" s="1"/>
  <c r="BB39" i="9" s="1"/>
  <c r="BD39" i="9" s="1"/>
  <c r="BC39" i="9"/>
  <c r="BA39" i="9"/>
  <c r="L22" i="15"/>
  <c r="L24" i="15" s="1"/>
  <c r="AS39" i="16"/>
  <c r="BB39" i="16"/>
  <c r="BC39" i="16" s="1"/>
  <c r="BD39" i="16" s="1"/>
  <c r="AZ39" i="16"/>
  <c r="AP40" i="16"/>
  <c r="K83" i="23"/>
  <c r="K84" i="23"/>
  <c r="AX38" i="16"/>
  <c r="AV38" i="16"/>
  <c r="AT38" i="16"/>
  <c r="AU38" i="16"/>
  <c r="AY38" i="16"/>
  <c r="BA38" i="16" s="1"/>
  <c r="BE38" i="16" s="1"/>
  <c r="K178" i="23" l="1"/>
  <c r="K181" i="23" s="1"/>
  <c r="K86" i="23"/>
  <c r="L81" i="23" s="1"/>
  <c r="AY39" i="16"/>
  <c r="BA39" i="16" s="1"/>
  <c r="BE39" i="16" s="1"/>
  <c r="AT39" i="16"/>
  <c r="AU39" i="16" s="1"/>
  <c r="AW39" i="16" s="1"/>
  <c r="AX39" i="16"/>
  <c r="AV39" i="16"/>
  <c r="AS40" i="16"/>
  <c r="BB40" i="16"/>
  <c r="BC40" i="16" s="1"/>
  <c r="BD40" i="16" s="1"/>
  <c r="AZ40" i="16"/>
  <c r="AP41" i="16"/>
  <c r="L29" i="15"/>
  <c r="L28" i="15"/>
  <c r="AY40" i="9"/>
  <c r="AZ40" i="9" s="1"/>
  <c r="BC40" i="9"/>
  <c r="BA40" i="9"/>
  <c r="AR41" i="9"/>
  <c r="AW38" i="16"/>
  <c r="L31" i="15" l="1"/>
  <c r="L70" i="23" s="1"/>
  <c r="L76" i="23" s="1"/>
  <c r="L77" i="23" s="1"/>
  <c r="L79" i="23" s="1"/>
  <c r="L176" i="23"/>
  <c r="L30" i="15"/>
  <c r="AX40" i="16"/>
  <c r="AV40" i="16"/>
  <c r="AT40" i="16"/>
  <c r="AU40" i="16" s="1"/>
  <c r="AW40" i="16" s="1"/>
  <c r="AY40" i="16"/>
  <c r="BA40" i="16" s="1"/>
  <c r="BE40" i="16" s="1"/>
  <c r="AR42" i="9"/>
  <c r="BC41" i="9"/>
  <c r="BA41" i="9"/>
  <c r="AY41" i="9"/>
  <c r="AZ41" i="9" s="1"/>
  <c r="BB41" i="9" s="1"/>
  <c r="BD41" i="9" s="1"/>
  <c r="AZ41" i="16"/>
  <c r="AP42" i="16"/>
  <c r="AS41" i="16"/>
  <c r="BB41" i="16"/>
  <c r="BC41" i="16" s="1"/>
  <c r="BD41" i="16" s="1"/>
  <c r="BB40" i="9"/>
  <c r="BD40" i="9" s="1"/>
  <c r="AT41" i="16" l="1"/>
  <c r="AU41" i="16" s="1"/>
  <c r="AY41" i="16"/>
  <c r="BA41" i="16" s="1"/>
  <c r="BE41" i="16" s="1"/>
  <c r="AX41" i="16"/>
  <c r="AV41" i="16"/>
  <c r="M22" i="15"/>
  <c r="M24" i="15" s="1"/>
  <c r="AS42" i="16"/>
  <c r="AZ42" i="16"/>
  <c r="BB42" i="16"/>
  <c r="BC42" i="16" s="1"/>
  <c r="BD42" i="16" s="1"/>
  <c r="AP43" i="16"/>
  <c r="BC42" i="9"/>
  <c r="AY42" i="9"/>
  <c r="AZ42" i="9" s="1"/>
  <c r="BA42" i="9"/>
  <c r="AR43" i="9"/>
  <c r="L83" i="23"/>
  <c r="L84" i="23"/>
  <c r="BB42" i="9" l="1"/>
  <c r="BD42" i="9" s="1"/>
  <c r="AW41" i="16"/>
  <c r="L86" i="23"/>
  <c r="M81" i="23" s="1"/>
  <c r="L178" i="23"/>
  <c r="L181" i="23" s="1"/>
  <c r="AY42" i="16"/>
  <c r="BA42" i="16" s="1"/>
  <c r="BE42" i="16" s="1"/>
  <c r="AT42" i="16"/>
  <c r="AU42" i="16" s="1"/>
  <c r="AX42" i="16"/>
  <c r="AV42" i="16"/>
  <c r="AY43" i="9"/>
  <c r="AZ43" i="9" s="1"/>
  <c r="BB43" i="9" s="1"/>
  <c r="BD43" i="9" s="1"/>
  <c r="BA43" i="9"/>
  <c r="AR44" i="9"/>
  <c r="BC43" i="9"/>
  <c r="BB43" i="16"/>
  <c r="BC43" i="16" s="1"/>
  <c r="BD43" i="16" s="1"/>
  <c r="AP44" i="16"/>
  <c r="AZ43" i="16"/>
  <c r="AS43" i="16"/>
  <c r="M28" i="15"/>
  <c r="M29" i="15"/>
  <c r="AY43" i="16" l="1"/>
  <c r="BA43" i="16" s="1"/>
  <c r="BE43" i="16" s="1"/>
  <c r="AT43" i="16"/>
  <c r="AU43" i="16" s="1"/>
  <c r="AW43" i="16" s="1"/>
  <c r="AV43" i="16"/>
  <c r="AX43" i="16"/>
  <c r="BC44" i="9"/>
  <c r="AR45" i="9"/>
  <c r="AY44" i="9"/>
  <c r="AZ44" i="9" s="1"/>
  <c r="BB44" i="9" s="1"/>
  <c r="BA44" i="9"/>
  <c r="M176" i="23"/>
  <c r="M31" i="15"/>
  <c r="M70" i="23" s="1"/>
  <c r="M76" i="23" s="1"/>
  <c r="M77" i="23" s="1"/>
  <c r="M79" i="23" s="1"/>
  <c r="M30" i="15"/>
  <c r="AZ44" i="16"/>
  <c r="BB44" i="16"/>
  <c r="BC44" i="16" s="1"/>
  <c r="BD44" i="16" s="1"/>
  <c r="BD8" i="16" s="1"/>
  <c r="AS44" i="16"/>
  <c r="AW42" i="16"/>
  <c r="M83" i="23" l="1"/>
  <c r="M84" i="23"/>
  <c r="AR46" i="9"/>
  <c r="BA45" i="9"/>
  <c r="AY45" i="9"/>
  <c r="AZ45" i="9" s="1"/>
  <c r="BB45" i="9" s="1"/>
  <c r="BD45" i="9" s="1"/>
  <c r="BC45" i="9"/>
  <c r="AX44" i="16"/>
  <c r="AV44" i="16"/>
  <c r="AY44" i="16"/>
  <c r="BA44" i="16" s="1"/>
  <c r="AT44" i="16"/>
  <c r="AU44" i="16" s="1"/>
  <c r="AW44" i="16" s="1"/>
  <c r="N22" i="15"/>
  <c r="N24" i="15" s="1"/>
  <c r="BD44" i="9"/>
  <c r="BC46" i="9" l="1"/>
  <c r="BA46" i="9"/>
  <c r="AY46" i="9"/>
  <c r="AZ46" i="9" s="1"/>
  <c r="N29" i="15"/>
  <c r="O29" i="15" s="1"/>
  <c r="N28" i="15"/>
  <c r="O24" i="15"/>
  <c r="BE44" i="16"/>
  <c r="BA8" i="16"/>
  <c r="BE8" i="16" s="1"/>
  <c r="M86" i="23"/>
  <c r="N81" i="23" s="1"/>
  <c r="M178" i="23"/>
  <c r="M181" i="23" s="1"/>
  <c r="BB46" i="9" l="1"/>
  <c r="BD46" i="9" s="1"/>
  <c r="N31" i="15"/>
  <c r="N70" i="23" s="1"/>
  <c r="N76" i="23" s="1"/>
  <c r="N77" i="23" s="1"/>
  <c r="N79" i="23" s="1"/>
  <c r="N176" i="23"/>
  <c r="O28" i="15"/>
  <c r="N30" i="15"/>
  <c r="N83" i="23" l="1"/>
  <c r="N84" i="23"/>
  <c r="O84" i="23" s="1"/>
  <c r="N178" i="23" l="1"/>
  <c r="N181" i="23" s="1"/>
  <c r="N86" i="23"/>
  <c r="O83" i="23"/>
</calcChain>
</file>

<file path=xl/comments1.xml><?xml version="1.0" encoding="utf-8"?>
<comments xmlns="http://schemas.openxmlformats.org/spreadsheetml/2006/main">
  <authors>
    <author>Protasio</author>
  </authors>
  <commentList>
    <comment ref="G39" authorId="0">
      <text>
        <r>
          <rPr>
            <b/>
            <sz val="10"/>
            <color indexed="81"/>
            <rFont val="Tahoma"/>
            <family val="2"/>
          </rPr>
          <t>El ISR de los copropietarios representados, en caso de copropiedad o sociedad conyugal.</t>
        </r>
      </text>
    </comment>
    <comment ref="B51" authorId="0">
      <text>
        <r>
          <rPr>
            <b/>
            <sz val="9"/>
            <color indexed="81"/>
            <rFont val="Tahoma"/>
            <family val="2"/>
          </rPr>
          <t xml:space="preserve">Solamente por ingresos efectivamente percibidos dentro de los primeros 10 dias del mes de enero de 2010 y siempre que se hubieran facturado en el año de 2009.
</t>
        </r>
      </text>
    </comment>
    <comment ref="B52" authorId="0">
      <text>
        <r>
          <rPr>
            <b/>
            <sz val="9"/>
            <color indexed="81"/>
            <rFont val="Tahoma"/>
            <family val="2"/>
          </rPr>
          <t>Solamente por ingresos efectivamente percibidos dentro de los primeros 10 dias del mes de enero de 2010 y siempre que se hubieran facturado en el año de 2009.</t>
        </r>
      </text>
    </comment>
  </commentList>
</comments>
</file>

<file path=xl/comments2.xml><?xml version="1.0" encoding="utf-8"?>
<comments xmlns="http://schemas.openxmlformats.org/spreadsheetml/2006/main">
  <authors>
    <author>Protasio</author>
  </authors>
  <commentList>
    <comment ref="B51" authorId="0">
      <text>
        <r>
          <rPr>
            <b/>
            <sz val="9"/>
            <color indexed="81"/>
            <rFont val="Tahoma"/>
            <family val="2"/>
          </rPr>
          <t>Solamente por ingresos efectivamente percibidos dentro de los primeros 10 dias del mes de enero de 2010 y siempre que se hubieran facturado en el año de 2009.</t>
        </r>
      </text>
    </comment>
    <comment ref="B52" authorId="0">
      <text>
        <r>
          <rPr>
            <b/>
            <sz val="9"/>
            <color indexed="81"/>
            <rFont val="Tahoma"/>
            <family val="2"/>
          </rPr>
          <t>Solamente por ingresos efectivamente percibidos dentro de los primeros 10 dias del mes de enero de 2010 y siempre que se hubieran facturado en el año de 2009.</t>
        </r>
      </text>
    </comment>
  </commentList>
</comments>
</file>

<file path=xl/comments3.xml><?xml version="1.0" encoding="utf-8"?>
<comments xmlns="http://schemas.openxmlformats.org/spreadsheetml/2006/main">
  <authors>
    <author>Protasio</author>
  </authors>
  <commentList>
    <comment ref="C90" authorId="0">
      <text>
        <r>
          <rPr>
            <b/>
            <sz val="10"/>
            <color indexed="81"/>
            <rFont val="Tahoma"/>
            <family val="2"/>
          </rPr>
          <t>Corresponde a periodos del año anterior.</t>
        </r>
      </text>
    </comment>
  </commentList>
</comments>
</file>

<file path=xl/comments4.xml><?xml version="1.0" encoding="utf-8"?>
<comments xmlns="http://schemas.openxmlformats.org/spreadsheetml/2006/main">
  <authors>
    <author>Protasio</author>
  </authors>
  <commentList>
    <comment ref="A61" authorId="0">
      <text>
        <r>
          <rPr>
            <b/>
            <sz val="10"/>
            <color indexed="81"/>
            <rFont val="Tahoma"/>
            <family val="2"/>
          </rPr>
          <t>No debe de exceder de un salario mínimo elvado al año.</t>
        </r>
      </text>
    </comment>
    <comment ref="A67" authorId="0">
      <text>
        <r>
          <rPr>
            <b/>
            <sz val="10"/>
            <color indexed="81"/>
            <rFont val="Tahoma"/>
            <family val="2"/>
          </rPr>
          <t>Sobre créditos hipotecarios destinados a casa habitación</t>
        </r>
      </text>
    </comment>
    <comment ref="A76" authorId="0">
      <text>
        <r>
          <rPr>
            <b/>
            <sz val="10"/>
            <color indexed="81"/>
            <rFont val="Tahoma"/>
            <family val="2"/>
          </rPr>
          <t>Cuando es obligatoria en los términos de las disposiciones legales.</t>
        </r>
      </text>
    </comment>
  </commentList>
</comments>
</file>

<file path=xl/sharedStrings.xml><?xml version="1.0" encoding="utf-8"?>
<sst xmlns="http://schemas.openxmlformats.org/spreadsheetml/2006/main" count="2471" uniqueCount="607">
  <si>
    <t>Salario diario</t>
  </si>
  <si>
    <t>Salario semanal</t>
  </si>
  <si>
    <t xml:space="preserve"> </t>
  </si>
  <si>
    <t>Total ingreso semanal</t>
  </si>
  <si>
    <t>Base de</t>
  </si>
  <si>
    <t>Descuento por Imss</t>
  </si>
  <si>
    <t>Descuento por ISPT</t>
  </si>
  <si>
    <t>Total de descuentos</t>
  </si>
  <si>
    <t>Salario base</t>
  </si>
  <si>
    <t>Limite inferior</t>
  </si>
  <si>
    <t>Excedente</t>
  </si>
  <si>
    <t>%</t>
  </si>
  <si>
    <t>Impuesto marginal</t>
  </si>
  <si>
    <t>Cuota fija</t>
  </si>
  <si>
    <t xml:space="preserve">Impuesto  </t>
  </si>
  <si>
    <t xml:space="preserve">Base </t>
  </si>
  <si>
    <t>IMSS</t>
  </si>
  <si>
    <t>Salario Minimo diario</t>
  </si>
  <si>
    <t>Salario minimo</t>
  </si>
  <si>
    <t>3 veces el salario minimo</t>
  </si>
  <si>
    <t>Del Excedente</t>
  </si>
  <si>
    <t>Excedente a 3 s.m.</t>
  </si>
  <si>
    <t>Prestaciones en dinero</t>
  </si>
  <si>
    <t>Gastos medicos pensionados</t>
  </si>
  <si>
    <t>Invalidez y vida</t>
  </si>
  <si>
    <t>Cesantia y vejez</t>
  </si>
  <si>
    <t>dias de la semana</t>
  </si>
  <si>
    <t>Oprimir "Herramientas" de la barra de opciones</t>
  </si>
  <si>
    <t>Seleccionar "Buscar Objetivo"</t>
  </si>
  <si>
    <t>En: Definir celda :</t>
  </si>
  <si>
    <t xml:space="preserve">En: Con valor de: </t>
  </si>
  <si>
    <t>En: Para cambiar celda:  D5</t>
  </si>
  <si>
    <t>Percepciones</t>
  </si>
  <si>
    <t xml:space="preserve">Percepcion Neta </t>
  </si>
  <si>
    <t>D5</t>
  </si>
  <si>
    <t>D21</t>
  </si>
  <si>
    <t>Salario neto deseado</t>
  </si>
  <si>
    <t>Salario quincenal</t>
  </si>
  <si>
    <t>Limite de la despensa</t>
  </si>
  <si>
    <t>40% de un salario minimo</t>
  </si>
  <si>
    <t>En una quincena</t>
  </si>
  <si>
    <t>PERCEPCIONES QUINCENALES</t>
  </si>
  <si>
    <t>40% del salario minimo</t>
  </si>
  <si>
    <t>En una semana</t>
  </si>
  <si>
    <t>PERCEPCION SEMANAL</t>
  </si>
  <si>
    <t>dias de la quincena</t>
  </si>
  <si>
    <t>Tarifa quincenal</t>
  </si>
  <si>
    <t>*</t>
  </si>
  <si>
    <t>Premio por puntualidad ( 10% )               *</t>
  </si>
  <si>
    <t>Premio por asistencia ( 10% )                 *</t>
  </si>
  <si>
    <t>Tiempo extra doble                                *</t>
  </si>
  <si>
    <t>Tiempo extra triple                                 *</t>
  </si>
  <si>
    <t>Prima Dominical                                    *</t>
  </si>
  <si>
    <t>Otros ingresos semanales                      *</t>
  </si>
  <si>
    <t>Percepción Semanal</t>
  </si>
  <si>
    <t>Percepción Quincenal</t>
  </si>
  <si>
    <t>Regresa al Menú Principal</t>
  </si>
  <si>
    <t>Percepción Mensual</t>
  </si>
  <si>
    <t>Asimilables a salarios</t>
  </si>
  <si>
    <t>ASIMILABLES A SALARIOS</t>
  </si>
  <si>
    <t>Impuesto a retener</t>
  </si>
  <si>
    <t>Percepción mensual</t>
  </si>
  <si>
    <t>Tarifa mensual</t>
  </si>
  <si>
    <t>Percepción Neta</t>
  </si>
  <si>
    <t>Percepción Neta Deseada</t>
  </si>
  <si>
    <t>Salario mensual</t>
  </si>
  <si>
    <t>dias del mes</t>
  </si>
  <si>
    <t>En un mes</t>
  </si>
  <si>
    <t>Otros ingresos mensuales                      *</t>
  </si>
  <si>
    <t>Total ingreso quincenal</t>
  </si>
  <si>
    <t>Arrendamiento mensual</t>
  </si>
  <si>
    <t>ARRENDAMIENTO MENSUAL</t>
  </si>
  <si>
    <t>Base del impuesto</t>
  </si>
  <si>
    <t>Impuesto mensual</t>
  </si>
  <si>
    <t>Impuesto a cargo</t>
  </si>
  <si>
    <t>Impuesto a favor</t>
  </si>
  <si>
    <t>ISR</t>
  </si>
  <si>
    <t>PERCEPCIONES ANUAL</t>
  </si>
  <si>
    <t>Salario gravado anual</t>
  </si>
  <si>
    <t>Total ingreso anual</t>
  </si>
  <si>
    <t>Tarifa anual</t>
  </si>
  <si>
    <t>Percepción Anual</t>
  </si>
  <si>
    <t>Salario diario integrado</t>
  </si>
  <si>
    <t xml:space="preserve">Factor de integración </t>
  </si>
  <si>
    <t>Factor de integración</t>
  </si>
  <si>
    <t>Tope</t>
  </si>
  <si>
    <t>25 veces el S.M.</t>
  </si>
  <si>
    <t>Salario diario topado</t>
  </si>
  <si>
    <t>Salario Diario Integrado</t>
  </si>
  <si>
    <t>Descuento por ISR</t>
  </si>
  <si>
    <t>Impuesto total</t>
  </si>
  <si>
    <t>ISR Retenido en el año</t>
  </si>
  <si>
    <t>ISR anual</t>
  </si>
  <si>
    <t>ISR retenido</t>
  </si>
  <si>
    <t xml:space="preserve">ISR retenido                        </t>
  </si>
  <si>
    <t xml:space="preserve">Percepción mensual            </t>
  </si>
  <si>
    <t>ISR anual a cargo</t>
  </si>
  <si>
    <t>ISR anual a favor</t>
  </si>
  <si>
    <t>PERCEPCION MENSUAL</t>
  </si>
  <si>
    <t>Tarifa - semanal</t>
  </si>
  <si>
    <t>PARA CALCULAR SALARIO NETO DESEADO</t>
  </si>
  <si>
    <t>PARA CALCULAR PERCEPCION NETA DESEADA</t>
  </si>
  <si>
    <t>Compensacion por separacion</t>
  </si>
  <si>
    <t>Años de antiguedad</t>
  </si>
  <si>
    <t>Salario minimo diario</t>
  </si>
  <si>
    <t>90 veces el salario minimo diario</t>
  </si>
  <si>
    <t>90 veces el smd por años de antig.</t>
  </si>
  <si>
    <t>Parte gravada de la compensacion</t>
  </si>
  <si>
    <t>Prima de antiguedad</t>
  </si>
  <si>
    <t>Salario mensual mas parte gravada</t>
  </si>
  <si>
    <t xml:space="preserve">  de la compensacion</t>
  </si>
  <si>
    <t>**</t>
  </si>
  <si>
    <t>Impuesto</t>
  </si>
  <si>
    <t>Indemnizacion constitucional</t>
  </si>
  <si>
    <t>Indemnizacion gravada mensual</t>
  </si>
  <si>
    <t>Numero de años de antigüedad</t>
  </si>
  <si>
    <t>Retencion</t>
  </si>
  <si>
    <t>Subsidio al empleo a favor</t>
  </si>
  <si>
    <t>Subsidio al empleo calculado</t>
  </si>
  <si>
    <t>Subsidio para el empleo</t>
  </si>
  <si>
    <t>Subsidio a favor</t>
  </si>
  <si>
    <t>En: Para cambiar celda:</t>
  </si>
  <si>
    <t>Subsidio par el empleo a favor</t>
  </si>
  <si>
    <t>Subsidio para el empleo anual</t>
  </si>
  <si>
    <t>Deducción de Impuestos prediales</t>
  </si>
  <si>
    <t>IETU</t>
  </si>
  <si>
    <t>Deducciones:</t>
  </si>
  <si>
    <t>Impuesto Predial</t>
  </si>
  <si>
    <t>Contribuciones locales de mejoras</t>
  </si>
  <si>
    <t>Cooperaciones para obras públicas</t>
  </si>
  <si>
    <t>Impuestos locales sobre los ingresos</t>
  </si>
  <si>
    <t>Gastos de mantenimiento</t>
  </si>
  <si>
    <t>Consumo de Agua</t>
  </si>
  <si>
    <t>Comisiones</t>
  </si>
  <si>
    <t>Honorarios</t>
  </si>
  <si>
    <t>Primas de seguros</t>
  </si>
  <si>
    <t>-</t>
  </si>
  <si>
    <t>Base del Impuesto</t>
  </si>
  <si>
    <t>Tasa</t>
  </si>
  <si>
    <t>Impuesto del Ietu</t>
  </si>
  <si>
    <t>Menos:</t>
  </si>
  <si>
    <t>ISR efectivamente pagado</t>
  </si>
  <si>
    <t>Años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</si>
  <si>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</si>
  <si>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</si>
  <si>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</si>
  <si>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</si>
  <si>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</si>
  <si>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</si>
  <si>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</si>
  <si>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</si>
  <si>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</si>
  <si>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</si>
  <si>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</si>
  <si>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</si>
  <si>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2005</t>
  </si>
  <si>
    <t>2006</t>
  </si>
  <si>
    <t>2007</t>
  </si>
  <si>
    <t>2008</t>
  </si>
  <si>
    <t>Inversión</t>
  </si>
  <si>
    <t>Año</t>
  </si>
  <si>
    <t>Mes</t>
  </si>
  <si>
    <t>Fecha de Enajenación</t>
  </si>
  <si>
    <t>INPC mes de</t>
  </si>
  <si>
    <t>la inversión</t>
  </si>
  <si>
    <t>INPC mes</t>
  </si>
  <si>
    <t>anterior a la</t>
  </si>
  <si>
    <t>enajenación</t>
  </si>
  <si>
    <t>Factor de</t>
  </si>
  <si>
    <t>actualización</t>
  </si>
  <si>
    <t>actualizada</t>
  </si>
  <si>
    <t>OCULTAR</t>
  </si>
  <si>
    <t>Transcurridos</t>
  </si>
  <si>
    <t>Netos</t>
  </si>
  <si>
    <t>Deducción del</t>
  </si>
  <si>
    <t xml:space="preserve">3% por cada </t>
  </si>
  <si>
    <t>año transcurrido</t>
  </si>
  <si>
    <t>Valor</t>
  </si>
  <si>
    <t>neto a</t>
  </si>
  <si>
    <t>actualizar</t>
  </si>
  <si>
    <t>Construcciones</t>
  </si>
  <si>
    <t>Precio de venta total</t>
  </si>
  <si>
    <t>Precio de</t>
  </si>
  <si>
    <t>venta</t>
  </si>
  <si>
    <t>Terrenos</t>
  </si>
  <si>
    <t>Ganancia</t>
  </si>
  <si>
    <t>acumulable</t>
  </si>
  <si>
    <t>(Pérdida)</t>
  </si>
  <si>
    <t xml:space="preserve">  proporción mensual</t>
  </si>
  <si>
    <t>En adelante</t>
  </si>
  <si>
    <t>Nombre del Contribuyente</t>
  </si>
  <si>
    <t>Período</t>
  </si>
  <si>
    <t>IVA</t>
  </si>
  <si>
    <t>Ingresos gravados al 15%</t>
  </si>
  <si>
    <t>Ingresos gravados al 10%</t>
  </si>
  <si>
    <t>Ingresos gravados al 0%</t>
  </si>
  <si>
    <t>Ingresos exentos</t>
  </si>
  <si>
    <t>Iva por pagar</t>
  </si>
  <si>
    <t>Iva por acreditar</t>
  </si>
  <si>
    <t>Saldo a favor de períodos</t>
  </si>
  <si>
    <t xml:space="preserve">   anteriores</t>
  </si>
  <si>
    <t>Diferencia a cargo</t>
  </si>
  <si>
    <t>Diferencia a favor</t>
  </si>
  <si>
    <t>Iva retenido</t>
  </si>
  <si>
    <t>Total de Ingresos</t>
  </si>
  <si>
    <t>A pagar</t>
  </si>
  <si>
    <t xml:space="preserve">Ingresos devengados en el 2007 cobrados </t>
  </si>
  <si>
    <t>Ingreso gravado</t>
  </si>
  <si>
    <t>Diferencia del IETU a cargo</t>
  </si>
  <si>
    <t>HONORARIOS MENSUAL</t>
  </si>
  <si>
    <t>Ingresos efectivamente cobrados</t>
  </si>
  <si>
    <t>Total Deducciones</t>
  </si>
  <si>
    <t>Menos</t>
  </si>
  <si>
    <t>Retenciones:</t>
  </si>
  <si>
    <t>Diferencia a Cargo</t>
  </si>
  <si>
    <t>Créditos</t>
  </si>
  <si>
    <t>Registro Federal de Contribuyentes</t>
  </si>
  <si>
    <t>Honorarios mensual</t>
  </si>
  <si>
    <t>Creditos</t>
  </si>
  <si>
    <t>Nombre</t>
  </si>
  <si>
    <t>Numero de control</t>
  </si>
  <si>
    <t>Numero de Control</t>
  </si>
  <si>
    <t>C9</t>
  </si>
  <si>
    <t>C5</t>
  </si>
  <si>
    <t>ISR de la copropiedad</t>
  </si>
  <si>
    <t>Deducciones</t>
  </si>
  <si>
    <t>Otras</t>
  </si>
  <si>
    <t>Dias de</t>
  </si>
  <si>
    <t>Aguinaldo</t>
  </si>
  <si>
    <t>% de Prima</t>
  </si>
  <si>
    <t>Vacacional</t>
  </si>
  <si>
    <t>Prima</t>
  </si>
  <si>
    <t>diario</t>
  </si>
  <si>
    <t>Salario</t>
  </si>
  <si>
    <t>Diario</t>
  </si>
  <si>
    <t>Vacaciones</t>
  </si>
  <si>
    <t>Fecha de</t>
  </si>
  <si>
    <t>Numero de</t>
  </si>
  <si>
    <t>integrado</t>
  </si>
  <si>
    <t>% de</t>
  </si>
  <si>
    <t>diaria</t>
  </si>
  <si>
    <t>(parte diaria)</t>
  </si>
  <si>
    <t>integración</t>
  </si>
  <si>
    <t>Afiliación</t>
  </si>
  <si>
    <t>CALCULO DE SALARIO DIARIO INTEGRADO PARA EFECTOS DEL IMSS</t>
  </si>
  <si>
    <t>Cálculo Salario Diario Integrado</t>
  </si>
  <si>
    <t>Regresar al Menú Principal</t>
  </si>
  <si>
    <t>INPC</t>
  </si>
  <si>
    <t>TERRENOS Y MEJORAS</t>
  </si>
  <si>
    <t>Inversión ( MOI )</t>
  </si>
  <si>
    <t>Calculo del Pago Provisional</t>
  </si>
  <si>
    <t>Base</t>
  </si>
  <si>
    <t>** Importe Aproximado **</t>
  </si>
  <si>
    <t>ISR anualizado</t>
  </si>
  <si>
    <t>Diferencia a pagar en la declaración anual</t>
  </si>
  <si>
    <t>ENAJENACIÓN DE INMUEBLES</t>
  </si>
  <si>
    <t>Prestaciones</t>
  </si>
  <si>
    <t>Hospedaje</t>
  </si>
  <si>
    <t>Depreciacion de auto</t>
  </si>
  <si>
    <t>Intereses compra auto</t>
  </si>
  <si>
    <t>Mantenimiento</t>
  </si>
  <si>
    <t>Ganancia no acumulable</t>
  </si>
  <si>
    <t>ingreso).</t>
  </si>
  <si>
    <t>Tasa vinculada (En caso de que sea el único</t>
  </si>
  <si>
    <t>Nombre del Copropietario</t>
  </si>
  <si>
    <t>Limite</t>
  </si>
  <si>
    <t>inferior</t>
  </si>
  <si>
    <t>marginal</t>
  </si>
  <si>
    <t>fija</t>
  </si>
  <si>
    <t>Cuota</t>
  </si>
  <si>
    <t>copropietarios</t>
  </si>
  <si>
    <t>CALCULO DEL PAGO PROVISIONAL DEL ISR EN COPROPIEDADES</t>
  </si>
  <si>
    <t>Ganancia Acumulables</t>
  </si>
  <si>
    <t>Vinculada</t>
  </si>
  <si>
    <t>años</t>
  </si>
  <si>
    <t>transcurridos</t>
  </si>
  <si>
    <t>Pago</t>
  </si>
  <si>
    <t>provisional</t>
  </si>
  <si>
    <t>anual est.</t>
  </si>
  <si>
    <t>Total de</t>
  </si>
  <si>
    <t>impuesto</t>
  </si>
  <si>
    <t>IMPUESTO SOBRE LA RENTA</t>
  </si>
  <si>
    <t>Total Anual</t>
  </si>
  <si>
    <t>Ingresos devengados en el 2007</t>
  </si>
  <si>
    <t>Deducciones del mes:</t>
  </si>
  <si>
    <t>Ingresos gravados del período</t>
  </si>
  <si>
    <t>Deducciones del período</t>
  </si>
  <si>
    <t>Base del impuesto del período</t>
  </si>
  <si>
    <t>Impuesto del período</t>
  </si>
  <si>
    <t>ISR retenido del mes</t>
  </si>
  <si>
    <t>Pagos provisionales anteriores</t>
  </si>
  <si>
    <t>Diferencia  a favor</t>
  </si>
  <si>
    <t>IMPUESTO AL VALOR AGREGADO</t>
  </si>
  <si>
    <t>RESUMEN</t>
  </si>
  <si>
    <t>Total</t>
  </si>
  <si>
    <t>ARRENDAMIENTO ANUAL</t>
  </si>
  <si>
    <t>HONORARIOS ANUAL</t>
  </si>
  <si>
    <t>Deducciones autorizadas</t>
  </si>
  <si>
    <t>Ingreso acumulado mensual</t>
  </si>
  <si>
    <t>Ingreso acumulado del periodo</t>
  </si>
  <si>
    <t>Límite inferior</t>
  </si>
  <si>
    <t>Límite superior</t>
  </si>
  <si>
    <t>Por ciento para aplicarse sobre</t>
  </si>
  <si>
    <t>el excedente del límite inferior</t>
  </si>
  <si>
    <t>$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</si>
  <si>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</si>
  <si>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</si>
  <si>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</si>
  <si>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</si>
  <si>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</si>
  <si>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</si>
  <si>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</si>
  <si>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</si>
  <si>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</si>
  <si>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</si>
  <si>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</si>
  <si>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</si>
  <si>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Pago provisional del mes</t>
  </si>
  <si>
    <t>Ingresos efectivamente cobrados en el mes</t>
  </si>
  <si>
    <t>- Anual</t>
  </si>
  <si>
    <t>Terreno y Construcción Adquiridos en una Misma Fecha</t>
  </si>
  <si>
    <t>ACTUALIZACIONES</t>
  </si>
  <si>
    <t>Fecha de Adquisición</t>
  </si>
  <si>
    <t>construcción</t>
  </si>
  <si>
    <t>Construcción</t>
  </si>
  <si>
    <t>Terreno</t>
  </si>
  <si>
    <t>Precio de Venta</t>
  </si>
  <si>
    <t>Total de Inversión Actualizada</t>
  </si>
  <si>
    <t>Inversión actualizada</t>
  </si>
  <si>
    <t>Ganancia Fiscal</t>
  </si>
  <si>
    <t>Ganancia acumulable</t>
  </si>
  <si>
    <t>Años transcurridos</t>
  </si>
  <si>
    <t>para dividir</t>
  </si>
  <si>
    <t>la ganancia</t>
  </si>
  <si>
    <t>Pérdida Fiscal</t>
  </si>
  <si>
    <t>ISR pago provisional</t>
  </si>
  <si>
    <t>Numero de años en que</t>
  </si>
  <si>
    <t>se dividió la ganancia</t>
  </si>
  <si>
    <t>IMUESTO AL VALOR AGREGADO</t>
  </si>
  <si>
    <t>Precio de venta de la</t>
  </si>
  <si>
    <t>IVA a cargo</t>
  </si>
  <si>
    <t>PP del ISR</t>
  </si>
  <si>
    <t>Ganancia no</t>
  </si>
  <si>
    <t>CALCULO DE GANANCIA FISCAL</t>
  </si>
  <si>
    <t>CONSTRUCCIONES Y MEJORAS</t>
  </si>
  <si>
    <t>transcurridos para</t>
  </si>
  <si>
    <t>dividir la ganancia</t>
  </si>
  <si>
    <t>Acumulable</t>
  </si>
  <si>
    <t>Ganancia del terreno</t>
  </si>
  <si>
    <t>Ganancia de la construccion</t>
  </si>
  <si>
    <t>Ganancias</t>
  </si>
  <si>
    <t>Tasa vinculada</t>
  </si>
  <si>
    <t>por ganancia</t>
  </si>
  <si>
    <t>de años</t>
  </si>
  <si>
    <t>Por número</t>
  </si>
  <si>
    <t xml:space="preserve">impuesto en </t>
  </si>
  <si>
    <t>la dec. anual</t>
  </si>
  <si>
    <t>Estimación de</t>
  </si>
  <si>
    <t>Fecha de adquisición</t>
  </si>
  <si>
    <t xml:space="preserve">Fecha de adquisición </t>
  </si>
  <si>
    <t>o inversión</t>
  </si>
  <si>
    <t>Concepto de inversión</t>
  </si>
  <si>
    <t>Nombre del  Contribuyente</t>
  </si>
  <si>
    <t>Ganancia construcción</t>
  </si>
  <si>
    <t>Ganancia terreno</t>
  </si>
  <si>
    <t>vinculada</t>
  </si>
  <si>
    <t>terreno</t>
  </si>
  <si>
    <t>Tasa vinculada por</t>
  </si>
  <si>
    <t>ganancia</t>
  </si>
  <si>
    <t>⌂</t>
  </si>
  <si>
    <t>|</t>
  </si>
  <si>
    <t>no acum.</t>
  </si>
  <si>
    <t>Regresa al Menú Anterior</t>
  </si>
  <si>
    <t>ISR  pago provisional</t>
  </si>
  <si>
    <t>Enajenación de Inmuebles 1</t>
  </si>
  <si>
    <t>Enajenación de Inmuebles 2</t>
  </si>
  <si>
    <t>Ultimo sueldo mensual ordinario</t>
  </si>
  <si>
    <t>Importe del aguinaldo</t>
  </si>
  <si>
    <t>Salario mínimo diario</t>
  </si>
  <si>
    <t>CALCULO</t>
  </si>
  <si>
    <t>Aguinaldo exento</t>
  </si>
  <si>
    <t>Aguinaldo gravado</t>
  </si>
  <si>
    <t>ISR a retener del aguinaldo</t>
  </si>
  <si>
    <t xml:space="preserve">   gravado</t>
  </si>
  <si>
    <t>Memoria de cálculo</t>
  </si>
  <si>
    <t>Impuesto del ultimo sueldo mensual ordinario</t>
  </si>
  <si>
    <t>Procedimiento artículo 142 del Reglamento de la L ISR</t>
  </si>
  <si>
    <t>Fracción I</t>
  </si>
  <si>
    <t>Fracción II</t>
  </si>
  <si>
    <t>Fracción III</t>
  </si>
  <si>
    <t>Fracción V</t>
  </si>
  <si>
    <t>Fracción IV</t>
  </si>
  <si>
    <t>CALCULO DEL ISR A PERCEPCIONES POR CONCEPTO DE</t>
  </si>
  <si>
    <t>Aplicación del Procedimiento del Artículo 142 del Reglamento de la Ley del ISR</t>
  </si>
  <si>
    <t>Dia</t>
  </si>
  <si>
    <t>Fecha de Hoy</t>
  </si>
  <si>
    <t>De la fecha de ingreso</t>
  </si>
  <si>
    <t>De la fecha de hoy</t>
  </si>
  <si>
    <t>vigente a</t>
  </si>
  <si>
    <t>partir del dia</t>
  </si>
  <si>
    <t>ingreso</t>
  </si>
  <si>
    <t>dd/mm/aaaa</t>
  </si>
  <si>
    <t>Calculo Anual de ISR</t>
  </si>
  <si>
    <t>Pagos provisionales</t>
  </si>
  <si>
    <t>Isr retenido</t>
  </si>
  <si>
    <t>Pagos provsionales</t>
  </si>
  <si>
    <t>Ingreso acumulable</t>
  </si>
  <si>
    <t>Isr acreditable</t>
  </si>
  <si>
    <t>INGRESOS ACUMULABLES</t>
  </si>
  <si>
    <t>SALARIOS</t>
  </si>
  <si>
    <t>ACTIVIDAD EMPRESARIAL</t>
  </si>
  <si>
    <t>HONORARIOS</t>
  </si>
  <si>
    <t>ARRENDAMIENTO</t>
  </si>
  <si>
    <t>ENAJENACION DE BIENES</t>
  </si>
  <si>
    <t>ADQUISICION DE BIENES</t>
  </si>
  <si>
    <t>INTERESES</t>
  </si>
  <si>
    <t>PREMIOS</t>
  </si>
  <si>
    <t>DIVIDENDOS</t>
  </si>
  <si>
    <t>OTROS INGRESOS</t>
  </si>
  <si>
    <t>Indemnización no acumulable</t>
  </si>
  <si>
    <t>Impuesto de percepciones gravadas</t>
  </si>
  <si>
    <t>Retenciónes del ISR</t>
  </si>
  <si>
    <t>ISR acreditable</t>
  </si>
  <si>
    <t>Ingresos acumulables</t>
  </si>
  <si>
    <t>Ingresos no acumulables gravados</t>
  </si>
  <si>
    <t>Ingreso acumuable anual gravado</t>
  </si>
  <si>
    <t>Imuesto marginal</t>
  </si>
  <si>
    <t>Retenciones del ISR anual</t>
  </si>
  <si>
    <t>Regresa al Menú anterior</t>
  </si>
  <si>
    <t>Total de ingresos no acumulables</t>
  </si>
  <si>
    <t xml:space="preserve">    gravados</t>
  </si>
  <si>
    <t>Impuestos correspondiente a los</t>
  </si>
  <si>
    <t xml:space="preserve">   ingresos no acumulables gravados</t>
  </si>
  <si>
    <t>Total de pagos provisionales</t>
  </si>
  <si>
    <t>Premio por puntualidad ( 10% )</t>
  </si>
  <si>
    <t>Premio por asistencia ( 10% )</t>
  </si>
  <si>
    <t>Despensa</t>
  </si>
  <si>
    <t>Tiempo extra doble</t>
  </si>
  <si>
    <t>Tiempo extra triple</t>
  </si>
  <si>
    <t>Prima Dominical</t>
  </si>
  <si>
    <t>Otros ingresos gravados</t>
  </si>
  <si>
    <t>Total ingreso neto</t>
  </si>
  <si>
    <t>E21</t>
  </si>
  <si>
    <t>E5</t>
  </si>
  <si>
    <t>Total de impuesto</t>
  </si>
  <si>
    <t>Impuesto a ingresos no acumulables gravados</t>
  </si>
  <si>
    <t>DEDUCCIONES PERSONALES</t>
  </si>
  <si>
    <t>Utilidad gravable</t>
  </si>
  <si>
    <t>Honorarios médicos, dentales</t>
  </si>
  <si>
    <t xml:space="preserve">   y gastos hospitalarios</t>
  </si>
  <si>
    <t>Gastos de funeral</t>
  </si>
  <si>
    <t>Donativos no onerosos ni</t>
  </si>
  <si>
    <t xml:space="preserve">   remunerativos</t>
  </si>
  <si>
    <t>Intereses reales efectivamente</t>
  </si>
  <si>
    <t xml:space="preserve">   pagados</t>
  </si>
  <si>
    <t>Aportaciones complementarias</t>
  </si>
  <si>
    <t xml:space="preserve">   de retiro</t>
  </si>
  <si>
    <t>Primas por seguros de gastos</t>
  </si>
  <si>
    <t xml:space="preserve">   médicos.</t>
  </si>
  <si>
    <t>Gastos destinados a la</t>
  </si>
  <si>
    <t xml:space="preserve">   transportacion escolar.</t>
  </si>
  <si>
    <t xml:space="preserve">Pagos por concepto del </t>
  </si>
  <si>
    <t xml:space="preserve">   impuesto local sobre salarios</t>
  </si>
  <si>
    <t>Deducciones personales</t>
  </si>
  <si>
    <t>Curp</t>
  </si>
  <si>
    <t>Terreno y Construcción Adquiridos en Fechas Distintas</t>
  </si>
  <si>
    <t>Subsidio para el empleo calculado</t>
  </si>
  <si>
    <t>Impuesto anual</t>
  </si>
  <si>
    <t>Regresar</t>
  </si>
  <si>
    <t>Impuesto segun tarifa</t>
  </si>
  <si>
    <t>Calculo de la Retención - Separación</t>
  </si>
  <si>
    <t>Artículo 112 de la Ley del Impuesto Sobre la Renta.</t>
  </si>
  <si>
    <t>PRIMAS DE ANTIGÜEDAD, INDEMNIZACION U OTROS PAGOS POR SEPARACIÓN</t>
  </si>
  <si>
    <t xml:space="preserve">Años que sirvieron de base para </t>
  </si>
  <si>
    <t>el calculo de la percepción</t>
  </si>
  <si>
    <t>Parte de la percepción exenta</t>
  </si>
  <si>
    <t>Parte de la percepción gravada</t>
  </si>
  <si>
    <t>Percepción total por separación</t>
  </si>
  <si>
    <t>Total de percepción gravada menos</t>
  </si>
  <si>
    <t>una cantidad equivalente al último</t>
  </si>
  <si>
    <t>sueldo mensual ordinario</t>
  </si>
  <si>
    <t>Antepenúltimo Párrafo del Articulo 113 de la Ley del ISR</t>
  </si>
  <si>
    <t>Tasa de Impuesto</t>
  </si>
  <si>
    <t>Calculo de la Retención</t>
  </si>
  <si>
    <t>Impuesto del último</t>
  </si>
  <si>
    <t>sueldo mensual</t>
  </si>
  <si>
    <t>ordinario</t>
  </si>
  <si>
    <t>Ultimo sueldo mensual</t>
  </si>
  <si>
    <t>Retención del ISR</t>
  </si>
  <si>
    <t>CALCULO DE LA RETENCION</t>
  </si>
  <si>
    <t>CALCULO DE LOS IMPORTES A</t>
  </si>
  <si>
    <t xml:space="preserve">ACUMULAR EN LA DECLARACION </t>
  </si>
  <si>
    <t>ANUAL</t>
  </si>
  <si>
    <t xml:space="preserve">(Indemnización gravable no </t>
  </si>
  <si>
    <t>acumulable).</t>
  </si>
  <si>
    <t>ARRENDAMIENTO Y SERVICIOS PROFESIONALES</t>
  </si>
  <si>
    <t>OTROS</t>
  </si>
  <si>
    <t>SUELDOS Y SALARIOS</t>
  </si>
  <si>
    <t>Tabla - subsidio  para el empleo</t>
  </si>
  <si>
    <t>Memoria de Calculo</t>
  </si>
  <si>
    <t>CALCULO DEL IMPUESTO SOBE LA RENTA - PERSONAS FISICAS</t>
  </si>
  <si>
    <t>Deducción opcional del 35%</t>
  </si>
  <si>
    <t>MEMORIA DE CALCULO</t>
  </si>
  <si>
    <t xml:space="preserve">     Construcciones y mejoras</t>
  </si>
  <si>
    <t xml:space="preserve">     Terrenos y Mejoras</t>
  </si>
  <si>
    <t>Costo</t>
  </si>
  <si>
    <t>Gan. Acum.</t>
  </si>
  <si>
    <t>Años Transc.</t>
  </si>
  <si>
    <t>Deducción del 10% del ingreso</t>
  </si>
  <si>
    <t>Deduccion máxima del 10% de los ingresos</t>
  </si>
  <si>
    <t>impuesto en declaración anual</t>
  </si>
  <si>
    <t>Estimación de diferencia de</t>
  </si>
  <si>
    <t>Percepcion gravada annual</t>
  </si>
  <si>
    <t>Ganancia fiscal acumulable</t>
  </si>
  <si>
    <t>Ganancia fiscal no acumulable</t>
  </si>
  <si>
    <t>CALCULO ANUAL</t>
  </si>
  <si>
    <t>Calculo de tasa vinculada</t>
  </si>
  <si>
    <t>Indemnizaciones no acumulables</t>
  </si>
  <si>
    <t>gravadas</t>
  </si>
  <si>
    <t>Ganancia en enajenacion de</t>
  </si>
  <si>
    <t>bienes no acumulable gravadas</t>
  </si>
  <si>
    <t>Total de deducciones personales</t>
  </si>
  <si>
    <t>TARIFAS Y TABLAS</t>
  </si>
  <si>
    <t>Regresa al Menu Principal</t>
  </si>
  <si>
    <t>Tablas y Tarifas</t>
  </si>
  <si>
    <t>Otros Gastos Deducibles</t>
  </si>
  <si>
    <t>PERCEPCION DIARIA</t>
  </si>
  <si>
    <t>Salario Mínimo Diario</t>
  </si>
  <si>
    <t>Otros ingresos diarios</t>
  </si>
  <si>
    <t xml:space="preserve">Premio por puntualidad ( 10% ) </t>
  </si>
  <si>
    <t xml:space="preserve">Tiempo extra doble    </t>
  </si>
  <si>
    <t xml:space="preserve">Tiempo extra triple  </t>
  </si>
  <si>
    <t xml:space="preserve">Prima Dominical  </t>
  </si>
  <si>
    <t>Tarifa Diaria</t>
  </si>
  <si>
    <t>Total ingreso diario</t>
  </si>
  <si>
    <t>dias</t>
  </si>
  <si>
    <t xml:space="preserve">   cobrados en el 2009 en el mes.</t>
  </si>
  <si>
    <t>2009</t>
  </si>
  <si>
    <t>Por Arrendamiento</t>
  </si>
  <si>
    <t>Por Honorarios</t>
  </si>
  <si>
    <t>Total de ingresos cobrados</t>
  </si>
  <si>
    <t>Ingresos gravados del mes</t>
  </si>
  <si>
    <t>Total de deducciones autorizadas</t>
  </si>
  <si>
    <t>IETU calculado del período</t>
  </si>
  <si>
    <t>Por Actividad Empresarial</t>
  </si>
  <si>
    <t>IMPUESTO EMPRESARIAL A</t>
  </si>
  <si>
    <t>TASA UNICA</t>
  </si>
  <si>
    <t>IMPUESTO AL VALOR</t>
  </si>
  <si>
    <t>AGREGADO</t>
  </si>
  <si>
    <t>Ingresos por Arrendamiento</t>
  </si>
  <si>
    <t>Tasa del 15%</t>
  </si>
  <si>
    <t>Tasa del 10%</t>
  </si>
  <si>
    <t>Tasa del 0%</t>
  </si>
  <si>
    <t xml:space="preserve">Total de ingresos por </t>
  </si>
  <si>
    <t>arrendamiento</t>
  </si>
  <si>
    <t>Ingresos por Honorarios</t>
  </si>
  <si>
    <t>honorarios</t>
  </si>
  <si>
    <t>Ingresos de Actividades Empresariales</t>
  </si>
  <si>
    <t>actividades empresariales</t>
  </si>
  <si>
    <t>Total de Ingresos Gravados</t>
  </si>
  <si>
    <t>Otros ingresos Gravados</t>
  </si>
  <si>
    <t>otras actividades</t>
  </si>
  <si>
    <t>De Arrendamiento</t>
  </si>
  <si>
    <t>De Honorarios</t>
  </si>
  <si>
    <t>De Actividades Empresariales</t>
  </si>
  <si>
    <t>Total de Iva por Acreditar</t>
  </si>
  <si>
    <t>Iva Retenido</t>
  </si>
  <si>
    <t>Total de Iva Retenido</t>
  </si>
  <si>
    <t>Saldos a Favor de Períodos Anteriores</t>
  </si>
  <si>
    <t>Iva por pagar del mes</t>
  </si>
  <si>
    <t>Iva calculado del mes</t>
  </si>
  <si>
    <t>Ietu - Iva</t>
  </si>
  <si>
    <t>IMPUESTO EMPRESARIAL A TASA UNICA</t>
  </si>
  <si>
    <t>Percepción Diaria</t>
  </si>
  <si>
    <t>Ingresos cobrados en el mes</t>
  </si>
  <si>
    <t>Impuesto sobre la renta</t>
  </si>
  <si>
    <t>Impuesto empresarial a tasa única</t>
  </si>
  <si>
    <t>Impuesto al valor agregado</t>
  </si>
  <si>
    <t>Total a pagar en el mes</t>
  </si>
  <si>
    <t>Creditos del mes</t>
  </si>
  <si>
    <t>ISR acreditble del mes:</t>
  </si>
  <si>
    <t xml:space="preserve">ISR acreditble del mes de </t>
  </si>
  <si>
    <t>Créditos del período</t>
  </si>
  <si>
    <t>Total ISR acreditable del mes</t>
  </si>
  <si>
    <t>Toptal ISR acreditable del período</t>
  </si>
  <si>
    <t>Construcciones   *</t>
  </si>
  <si>
    <t>AGUINALDOS</t>
  </si>
  <si>
    <t>PRIMA VACACIONAL - PTU</t>
  </si>
  <si>
    <t>Importe de la prima o Ptu</t>
  </si>
  <si>
    <t>ISR a retener</t>
  </si>
  <si>
    <t>Perceción exenta</t>
  </si>
  <si>
    <t>Percepción gravada</t>
  </si>
  <si>
    <t>GRATIFICACION ANUAL (AGUINALDOS), PRIMA VACACIONAL Y PTU.</t>
  </si>
  <si>
    <t>Retención  - Aguinaldo - PTU - P. Vac.</t>
  </si>
  <si>
    <t xml:space="preserve"> En adelante </t>
  </si>
  <si>
    <t xml:space="preserve">En adelante </t>
  </si>
  <si>
    <t>EJERCICIO DE 2010</t>
  </si>
  <si>
    <t>Ejercicio Fiscal de 2010</t>
  </si>
  <si>
    <t>CALCULO ANUAL DEL IMPUESTO SOBRE LA RENTA - PERSONAS FISICAS 2010</t>
  </si>
  <si>
    <t xml:space="preserve">   en el 2010.</t>
  </si>
  <si>
    <t>MEMORIA DE CALCULO ANUAL - 2010.</t>
  </si>
  <si>
    <t>2010</t>
  </si>
  <si>
    <t>Tasa del 16%</t>
  </si>
  <si>
    <t>Tasa del 11%</t>
  </si>
  <si>
    <t>Ingresos gravados al 16%</t>
  </si>
  <si>
    <t>Ingresos gravados al 11%</t>
  </si>
  <si>
    <t>Base Pond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</si>
</sst>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_(* #,##0.00_);_(* \(#,##0.00\);_(* &quot;-&quot;??_);_(@_)"/>
    <numFmt numFmtId="165" formatCode="_(* #,##0_);_(* \(#,##0\);_(* &quot;-&quot;_);_(@_)"/>
    <numFmt numFmtId="166" formatCode="0.000%"/>
    <numFmt numFmtId="167" formatCode="_-* #,##0_-;\-* #,##0_-;_-* &quot;-&quot;??_-;_-@_-"/>
    <numFmt numFmtId="168" formatCode="_-[$€-2]* #,##0.00_-;\-[$€-2]* #,##0.00_-;_-[$€-2]* &quot;-&quot;??_-"/>
    <numFmt numFmtId="169" formatCode="_-* #,##0.000_-;\-* #,##0.000_-;_-* &quot;-&quot;??_-;_-@_-"/>
    <numFmt numFmtId="170" formatCode="_-* #,##0.0000_-;\-* #,##0.0000_-;_-* &quot;-&quot;??_-;_-@_-"/>
    <numFmt numFmtId="171" formatCode="0.0000%"/>
    <numFmt numFmtId="172" formatCode="_(* #,##0.00_);_(* \(#,##0.00\);_(* &quot;-&quot;_);_(@_)"/>
    <numFmt numFmtId="173" formatCode="0.0000"/>
    <numFmt numFmtId="174" formatCode="0.000000"/>
    <numFmt numFmtId="175" formatCode="[$-F800]dddd\,\ mmmm\ dd\,\ yyyy"/>
    <numFmt numFmtId="176" formatCode="_-* #,##0.000000_-;\-* #,##0.000000_-;_-* &quot;-&quot;??_-;_-@_-"/>
    <numFmt numFmtId="177" formatCode="#,##0.00;\(#,##0.00\)"/>
  </numFmts>
  <fonts count="6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indexed="48"/>
      <name val="Arial"/>
      <family val="2"/>
    </font>
    <font>
      <b/>
      <sz val="10"/>
      <color indexed="53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sz val="8"/>
      <color indexed="8"/>
      <name val="Arial"/>
      <family val="2"/>
    </font>
    <font>
      <sz val="12"/>
      <name val="Times New Roman"/>
      <family val="1"/>
    </font>
    <font>
      <b/>
      <i/>
      <sz val="10"/>
      <name val="Arial"/>
      <family val="2"/>
    </font>
    <font>
      <sz val="8"/>
      <name val="Arial"/>
      <family val="2"/>
    </font>
    <font>
      <b/>
      <u val="singleAccounting"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43"/>
      <name val="Arial"/>
      <family val="2"/>
    </font>
    <font>
      <b/>
      <sz val="10"/>
      <color indexed="81"/>
      <name val="Tahoma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10"/>
      <color indexed="42"/>
      <name val="Arial"/>
      <family val="2"/>
    </font>
    <font>
      <sz val="10"/>
      <color indexed="12"/>
      <name val="Arial"/>
      <family val="2"/>
    </font>
    <font>
      <b/>
      <sz val="10"/>
      <color indexed="13"/>
      <name val="Arial"/>
      <family val="2"/>
    </font>
    <font>
      <b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62"/>
      <name val="Arial"/>
      <family val="2"/>
    </font>
    <font>
      <sz val="10"/>
      <color indexed="43"/>
      <name val="Arial"/>
      <family val="2"/>
    </font>
    <font>
      <u/>
      <sz val="10"/>
      <color indexed="8"/>
      <name val="Arial"/>
      <family val="2"/>
    </font>
    <font>
      <sz val="10"/>
      <color indexed="13"/>
      <name val="Arial"/>
      <family val="2"/>
    </font>
    <font>
      <b/>
      <sz val="10"/>
      <color indexed="13"/>
      <name val="Arial"/>
      <family val="2"/>
    </font>
    <font>
      <sz val="14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0"/>
      <color indexed="60"/>
      <name val="Arial"/>
      <family val="2"/>
    </font>
    <font>
      <b/>
      <sz val="10"/>
      <color indexed="62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b/>
      <sz val="10"/>
      <color indexed="30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b/>
      <sz val="10"/>
      <color indexed="3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49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indexed="30"/>
      <name val="Arial"/>
      <family val="2"/>
    </font>
    <font>
      <sz val="10"/>
      <color indexed="8"/>
      <name val="Arial"/>
      <family val="2"/>
    </font>
    <font>
      <sz val="10"/>
      <color indexed="30"/>
      <name val="Arial"/>
      <family val="2"/>
    </font>
    <font>
      <sz val="10"/>
      <color indexed="42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u/>
      <sz val="12"/>
      <name val="Arial"/>
      <family val="2"/>
    </font>
    <font>
      <u/>
      <sz val="1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8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9">
    <xf numFmtId="0" fontId="0" fillId="0" borderId="0" xfId="0"/>
    <xf numFmtId="164" fontId="0" fillId="0" borderId="0" xfId="3" applyFont="1"/>
    <xf numFmtId="10" fontId="0" fillId="0" borderId="0" xfId="4" applyNumberFormat="1" applyFont="1"/>
    <xf numFmtId="164" fontId="0" fillId="0" borderId="1" xfId="3" applyFont="1" applyBorder="1"/>
    <xf numFmtId="166" fontId="0" fillId="0" borderId="0" xfId="4" applyNumberFormat="1" applyFont="1"/>
    <xf numFmtId="167" fontId="0" fillId="0" borderId="1" xfId="3" applyNumberFormat="1" applyFont="1" applyBorder="1"/>
    <xf numFmtId="164" fontId="0" fillId="0" borderId="2" xfId="3" applyFont="1" applyBorder="1"/>
    <xf numFmtId="164" fontId="0" fillId="0" borderId="3" xfId="3" applyFont="1" applyBorder="1"/>
    <xf numFmtId="164" fontId="0" fillId="0" borderId="4" xfId="3" applyFont="1" applyBorder="1"/>
    <xf numFmtId="164" fontId="0" fillId="0" borderId="5" xfId="3" applyFont="1" applyBorder="1"/>
    <xf numFmtId="164" fontId="0" fillId="0" borderId="0" xfId="3" applyFont="1" applyBorder="1"/>
    <xf numFmtId="164" fontId="0" fillId="0" borderId="6" xfId="3" applyFont="1" applyBorder="1"/>
    <xf numFmtId="164" fontId="0" fillId="0" borderId="7" xfId="3" applyFont="1" applyBorder="1"/>
    <xf numFmtId="164" fontId="0" fillId="0" borderId="8" xfId="3" applyFont="1" applyBorder="1"/>
    <xf numFmtId="164" fontId="0" fillId="0" borderId="9" xfId="3" applyFont="1" applyBorder="1"/>
    <xf numFmtId="164" fontId="2" fillId="0" borderId="0" xfId="3" applyFont="1"/>
    <xf numFmtId="164" fontId="0" fillId="0" borderId="10" xfId="3" applyFont="1" applyBorder="1"/>
    <xf numFmtId="164" fontId="0" fillId="0" borderId="11" xfId="3" applyFont="1" applyBorder="1"/>
    <xf numFmtId="164" fontId="3" fillId="0" borderId="0" xfId="3" applyFont="1" applyAlignment="1">
      <alignment horizontal="center"/>
    </xf>
    <xf numFmtId="164" fontId="0" fillId="0" borderId="0" xfId="3" quotePrefix="1" applyFont="1" applyBorder="1" applyAlignment="1"/>
    <xf numFmtId="164" fontId="0" fillId="0" borderId="0" xfId="3" quotePrefix="1" applyFont="1" applyBorder="1" applyAlignment="1">
      <alignment horizontal="left"/>
    </xf>
    <xf numFmtId="164" fontId="0" fillId="0" borderId="0" xfId="3" applyFont="1" applyAlignment="1">
      <alignment horizontal="right"/>
    </xf>
    <xf numFmtId="0" fontId="6" fillId="0" borderId="0" xfId="0" applyFont="1"/>
    <xf numFmtId="164" fontId="7" fillId="0" borderId="0" xfId="2" applyNumberFormat="1" applyAlignment="1" applyProtection="1"/>
    <xf numFmtId="164" fontId="7" fillId="0" borderId="0" xfId="2" applyNumberFormat="1" applyFont="1" applyAlignment="1" applyProtection="1"/>
    <xf numFmtId="164" fontId="0" fillId="0" borderId="0" xfId="3" applyFont="1" applyProtection="1">
      <protection locked="0"/>
    </xf>
    <xf numFmtId="10" fontId="0" fillId="0" borderId="0" xfId="4" applyNumberFormat="1" applyFont="1" applyProtection="1">
      <protection locked="0"/>
    </xf>
    <xf numFmtId="0" fontId="2" fillId="0" borderId="0" xfId="0" applyFont="1"/>
    <xf numFmtId="164" fontId="5" fillId="0" borderId="0" xfId="3" applyFont="1" applyBorder="1" applyProtection="1">
      <protection locked="0"/>
    </xf>
    <xf numFmtId="167" fontId="0" fillId="0" borderId="0" xfId="3" applyNumberFormat="1" applyFont="1" applyBorder="1"/>
    <xf numFmtId="164" fontId="2" fillId="0" borderId="0" xfId="3" applyFont="1" applyProtection="1"/>
    <xf numFmtId="164" fontId="0" fillId="0" borderId="0" xfId="3" applyFont="1" applyProtection="1"/>
    <xf numFmtId="164" fontId="0" fillId="0" borderId="0" xfId="3" applyFont="1" applyBorder="1" applyProtection="1"/>
    <xf numFmtId="164" fontId="3" fillId="0" borderId="0" xfId="3" applyFont="1" applyBorder="1" applyAlignment="1" applyProtection="1">
      <alignment horizontal="center"/>
    </xf>
    <xf numFmtId="164" fontId="0" fillId="0" borderId="0" xfId="3" applyFont="1" applyBorder="1" applyAlignment="1" applyProtection="1">
      <alignment horizontal="center"/>
    </xf>
    <xf numFmtId="164" fontId="4" fillId="0" borderId="0" xfId="3" applyFont="1" applyBorder="1" applyProtection="1"/>
    <xf numFmtId="164" fontId="0" fillId="0" borderId="0" xfId="3" applyFont="1" applyBorder="1" applyAlignment="1">
      <alignment horizontal="left"/>
    </xf>
    <xf numFmtId="164" fontId="9" fillId="0" borderId="0" xfId="3" applyFont="1" applyBorder="1" applyProtection="1">
      <protection locked="0"/>
    </xf>
    <xf numFmtId="9" fontId="9" fillId="0" borderId="0" xfId="4" applyFont="1" applyBorder="1" applyProtection="1">
      <protection locked="0"/>
    </xf>
    <xf numFmtId="164" fontId="0" fillId="0" borderId="0" xfId="3" applyFont="1" applyBorder="1" applyAlignment="1">
      <alignment horizontal="center"/>
    </xf>
    <xf numFmtId="164" fontId="11" fillId="0" borderId="0" xfId="3" applyFont="1" applyBorder="1" applyProtection="1">
      <protection locked="0"/>
    </xf>
    <xf numFmtId="164" fontId="0" fillId="0" borderId="12" xfId="3" applyFont="1" applyBorder="1"/>
    <xf numFmtId="170" fontId="10" fillId="0" borderId="0" xfId="3" applyNumberFormat="1" applyFont="1" applyBorder="1" applyProtection="1">
      <protection locked="0"/>
    </xf>
    <xf numFmtId="164" fontId="12" fillId="0" borderId="10" xfId="3" applyFont="1" applyBorder="1"/>
    <xf numFmtId="164" fontId="2" fillId="0" borderId="0" xfId="3" applyFont="1" applyBorder="1" applyAlignment="1" applyProtection="1">
      <alignment horizontal="center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right" wrapText="1"/>
    </xf>
    <xf numFmtId="4" fontId="13" fillId="0" borderId="0" xfId="0" applyNumberFormat="1" applyFont="1" applyBorder="1" applyAlignment="1">
      <alignment horizontal="right" wrapText="1"/>
    </xf>
    <xf numFmtId="0" fontId="14" fillId="0" borderId="0" xfId="0" applyFont="1" applyBorder="1"/>
    <xf numFmtId="0" fontId="0" fillId="0" borderId="0" xfId="0" applyBorder="1"/>
    <xf numFmtId="167" fontId="2" fillId="0" borderId="0" xfId="3" applyNumberFormat="1" applyFont="1" applyBorder="1" applyProtection="1"/>
    <xf numFmtId="164" fontId="12" fillId="0" borderId="13" xfId="3" applyFont="1" applyBorder="1" applyProtection="1">
      <protection locked="0"/>
    </xf>
    <xf numFmtId="164" fontId="11" fillId="0" borderId="0" xfId="3" applyFont="1" applyBorder="1" applyProtection="1"/>
    <xf numFmtId="0" fontId="15" fillId="0" borderId="0" xfId="0" applyFont="1" applyAlignment="1">
      <alignment horizontal="left" indent="1"/>
    </xf>
    <xf numFmtId="0" fontId="16" fillId="0" borderId="0" xfId="0" applyFont="1" applyBorder="1" applyAlignment="1">
      <alignment horizontal="right" vertical="top" wrapText="1"/>
    </xf>
    <xf numFmtId="4" fontId="16" fillId="0" borderId="0" xfId="0" applyNumberFormat="1" applyFont="1" applyBorder="1" applyAlignment="1">
      <alignment horizontal="right" vertical="top" wrapText="1"/>
    </xf>
    <xf numFmtId="164" fontId="0" fillId="0" borderId="0" xfId="3" applyFont="1" applyBorder="1" applyProtection="1">
      <protection locked="0"/>
    </xf>
    <xf numFmtId="164" fontId="12" fillId="0" borderId="12" xfId="3" applyFont="1" applyBorder="1" applyProtection="1">
      <protection locked="0"/>
    </xf>
    <xf numFmtId="164" fontId="2" fillId="0" borderId="1" xfId="3" applyFont="1" applyBorder="1" applyAlignment="1">
      <alignment horizontal="center"/>
    </xf>
    <xf numFmtId="164" fontId="2" fillId="0" borderId="0" xfId="3" applyFont="1" applyAlignment="1">
      <alignment horizontal="center"/>
    </xf>
    <xf numFmtId="170" fontId="10" fillId="0" borderId="14" xfId="3" applyNumberFormat="1" applyFont="1" applyBorder="1" applyProtection="1">
      <protection locked="0"/>
    </xf>
    <xf numFmtId="164" fontId="10" fillId="0" borderId="13" xfId="3" applyFont="1" applyBorder="1" applyProtection="1">
      <protection locked="0"/>
    </xf>
    <xf numFmtId="164" fontId="2" fillId="0" borderId="0" xfId="3" applyFont="1" applyAlignment="1">
      <alignment horizontal="right"/>
    </xf>
    <xf numFmtId="164" fontId="2" fillId="0" borderId="1" xfId="3" applyFont="1" applyBorder="1"/>
    <xf numFmtId="164" fontId="9" fillId="0" borderId="13" xfId="3" applyFont="1" applyBorder="1" applyProtection="1">
      <protection locked="0"/>
    </xf>
    <xf numFmtId="164" fontId="9" fillId="0" borderId="12" xfId="3" applyFont="1" applyBorder="1" applyProtection="1">
      <protection locked="0"/>
    </xf>
    <xf numFmtId="164" fontId="2" fillId="0" borderId="0" xfId="3" applyFont="1" applyBorder="1" applyAlignment="1" applyProtection="1">
      <alignment horizontal="right"/>
    </xf>
    <xf numFmtId="164" fontId="2" fillId="0" borderId="0" xfId="3" applyFont="1" applyBorder="1"/>
    <xf numFmtId="171" fontId="0" fillId="0" borderId="0" xfId="4" applyNumberFormat="1" applyFont="1"/>
    <xf numFmtId="164" fontId="0" fillId="2" borderId="0" xfId="3" applyFont="1" applyFill="1"/>
    <xf numFmtId="164" fontId="0" fillId="0" borderId="0" xfId="3" applyFont="1" applyFill="1"/>
    <xf numFmtId="164" fontId="0" fillId="3" borderId="0" xfId="3" applyFont="1" applyFill="1"/>
    <xf numFmtId="164" fontId="10" fillId="0" borderId="0" xfId="3" applyFont="1" applyBorder="1" applyProtection="1">
      <protection locked="0"/>
    </xf>
    <xf numFmtId="10" fontId="0" fillId="0" borderId="1" xfId="4" applyNumberFormat="1" applyFont="1" applyBorder="1"/>
    <xf numFmtId="172" fontId="0" fillId="0" borderId="12" xfId="3" applyNumberFormat="1" applyFont="1" applyBorder="1"/>
    <xf numFmtId="164" fontId="17" fillId="0" borderId="0" xfId="3" applyFont="1" applyBorder="1"/>
    <xf numFmtId="9" fontId="0" fillId="0" borderId="0" xfId="4" applyFont="1" applyBorder="1"/>
    <xf numFmtId="164" fontId="2" fillId="0" borderId="12" xfId="3" applyFont="1" applyBorder="1" applyProtection="1">
      <protection locked="0"/>
    </xf>
    <xf numFmtId="164" fontId="12" fillId="0" borderId="12" xfId="3" applyFont="1" applyBorder="1"/>
    <xf numFmtId="164" fontId="0" fillId="0" borderId="0" xfId="3" quotePrefix="1" applyFont="1" applyBorder="1" applyAlignment="1" applyProtection="1">
      <protection locked="0"/>
    </xf>
    <xf numFmtId="164" fontId="2" fillId="0" borderId="0" xfId="3" applyFont="1" applyProtection="1">
      <protection locked="0"/>
    </xf>
    <xf numFmtId="164" fontId="2" fillId="0" borderId="0" xfId="3" applyFont="1" applyBorder="1" applyProtection="1">
      <protection locked="0"/>
    </xf>
    <xf numFmtId="164" fontId="12" fillId="0" borderId="0" xfId="3" applyFont="1"/>
    <xf numFmtId="172" fontId="12" fillId="0" borderId="12" xfId="3" applyNumberFormat="1" applyFont="1" applyBorder="1"/>
    <xf numFmtId="164" fontId="12" fillId="0" borderId="0" xfId="3" applyFont="1" applyProtection="1"/>
    <xf numFmtId="169" fontId="0" fillId="0" borderId="0" xfId="3" applyNumberFormat="1" applyFont="1" applyProtection="1">
      <protection hidden="1"/>
    </xf>
    <xf numFmtId="169" fontId="0" fillId="0" borderId="13" xfId="3" applyNumberFormat="1" applyFont="1" applyBorder="1" applyAlignment="1" applyProtection="1">
      <alignment horizontal="center"/>
      <protection hidden="1"/>
    </xf>
    <xf numFmtId="169" fontId="2" fillId="0" borderId="15" xfId="3" applyNumberFormat="1" applyFont="1" applyBorder="1" applyAlignment="1" applyProtection="1">
      <alignment horizontal="center"/>
      <protection hidden="1"/>
    </xf>
    <xf numFmtId="169" fontId="2" fillId="0" borderId="16" xfId="3" applyNumberFormat="1" applyFont="1" applyBorder="1" applyAlignment="1" applyProtection="1">
      <alignment horizontal="center"/>
      <protection hidden="1"/>
    </xf>
    <xf numFmtId="169" fontId="2" fillId="0" borderId="17" xfId="3" applyNumberFormat="1" applyFont="1" applyBorder="1" applyAlignment="1" applyProtection="1">
      <alignment horizontal="center"/>
      <protection hidden="1"/>
    </xf>
    <xf numFmtId="0" fontId="2" fillId="0" borderId="12" xfId="3" applyNumberFormat="1" applyFont="1" applyBorder="1" applyAlignment="1" applyProtection="1">
      <alignment horizontal="center"/>
      <protection hidden="1"/>
    </xf>
    <xf numFmtId="169" fontId="0" fillId="0" borderId="12" xfId="3" applyNumberFormat="1" applyFont="1" applyBorder="1" applyProtection="1">
      <protection locked="0" hidden="1"/>
    </xf>
    <xf numFmtId="169" fontId="2" fillId="0" borderId="18" xfId="3" quotePrefix="1" applyNumberFormat="1" applyFont="1" applyBorder="1" applyAlignment="1" applyProtection="1">
      <alignment horizontal="center"/>
      <protection hidden="1"/>
    </xf>
    <xf numFmtId="169" fontId="0" fillId="0" borderId="0" xfId="3" applyNumberFormat="1" applyFont="1" applyFill="1" applyBorder="1" applyProtection="1">
      <protection hidden="1"/>
    </xf>
    <xf numFmtId="169" fontId="7" fillId="0" borderId="0" xfId="2" applyNumberFormat="1" applyFill="1" applyBorder="1" applyAlignment="1" applyProtection="1">
      <alignment horizontal="center"/>
      <protection hidden="1"/>
    </xf>
    <xf numFmtId="169" fontId="2" fillId="0" borderId="0" xfId="3" applyNumberFormat="1" applyFont="1" applyFill="1" applyBorder="1" applyAlignment="1" applyProtection="1">
      <alignment horizontal="center"/>
      <protection hidden="1"/>
    </xf>
    <xf numFmtId="169" fontId="2" fillId="0" borderId="0" xfId="3" applyNumberFormat="1" applyFont="1" applyFill="1" applyBorder="1" applyProtection="1">
      <protection hidden="1"/>
    </xf>
    <xf numFmtId="169" fontId="7" fillId="0" borderId="0" xfId="2" applyNumberFormat="1" applyFont="1" applyFill="1" applyBorder="1" applyAlignment="1" applyProtection="1">
      <protection hidden="1"/>
    </xf>
    <xf numFmtId="10" fontId="0" fillId="0" borderId="0" xfId="4" applyNumberFormat="1" applyFont="1" applyFill="1" applyBorder="1" applyProtection="1">
      <protection locked="0" hidden="1"/>
    </xf>
    <xf numFmtId="10" fontId="12" fillId="0" borderId="0" xfId="4" applyNumberFormat="1" applyFont="1" applyFill="1" applyBorder="1" applyProtection="1">
      <protection hidden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12" xfId="3" applyFont="1" applyBorder="1"/>
    <xf numFmtId="164" fontId="12" fillId="0" borderId="12" xfId="0" applyNumberFormat="1" applyFont="1" applyBorder="1"/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164" fontId="12" fillId="0" borderId="21" xfId="0" applyNumberFormat="1" applyFont="1" applyBorder="1"/>
    <xf numFmtId="164" fontId="12" fillId="0" borderId="0" xfId="0" applyNumberFormat="1" applyFont="1" applyBorder="1"/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0" borderId="19" xfId="0" applyBorder="1"/>
    <xf numFmtId="173" fontId="12" fillId="0" borderId="12" xfId="0" applyNumberFormat="1" applyFont="1" applyBorder="1"/>
    <xf numFmtId="167" fontId="12" fillId="0" borderId="12" xfId="3" applyNumberFormat="1" applyFont="1" applyBorder="1"/>
    <xf numFmtId="0" fontId="2" fillId="0" borderId="0" xfId="0" applyFont="1" applyAlignment="1">
      <alignment horizontal="right"/>
    </xf>
    <xf numFmtId="172" fontId="12" fillId="0" borderId="21" xfId="0" applyNumberFormat="1" applyFont="1" applyBorder="1"/>
    <xf numFmtId="172" fontId="12" fillId="0" borderId="12" xfId="0" applyNumberFormat="1" applyFont="1" applyBorder="1"/>
    <xf numFmtId="0" fontId="0" fillId="0" borderId="20" xfId="0" applyBorder="1"/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164" fontId="19" fillId="4" borderId="18" xfId="3" applyFont="1" applyFill="1" applyBorder="1" applyProtection="1"/>
    <xf numFmtId="164" fontId="0" fillId="4" borderId="18" xfId="3" applyFont="1" applyFill="1" applyBorder="1" applyProtection="1"/>
    <xf numFmtId="164" fontId="12" fillId="0" borderId="12" xfId="3" applyFont="1" applyBorder="1" applyProtection="1"/>
    <xf numFmtId="164" fontId="12" fillId="0" borderId="13" xfId="3" applyFont="1" applyBorder="1" applyProtection="1"/>
    <xf numFmtId="164" fontId="12" fillId="0" borderId="0" xfId="3" applyFont="1" applyBorder="1" applyProtection="1"/>
    <xf numFmtId="164" fontId="9" fillId="0" borderId="0" xfId="2" applyNumberFormat="1" applyFont="1" applyAlignment="1" applyProtection="1"/>
    <xf numFmtId="172" fontId="9" fillId="5" borderId="12" xfId="3" applyNumberFormat="1" applyFont="1" applyFill="1" applyBorder="1"/>
    <xf numFmtId="164" fontId="9" fillId="5" borderId="12" xfId="3" applyFont="1" applyFill="1" applyBorder="1"/>
    <xf numFmtId="164" fontId="2" fillId="6" borderId="12" xfId="3" applyFont="1" applyFill="1" applyBorder="1" applyAlignment="1" applyProtection="1">
      <alignment horizontal="center"/>
    </xf>
    <xf numFmtId="164" fontId="2" fillId="6" borderId="12" xfId="3" applyFont="1" applyFill="1" applyBorder="1" applyAlignment="1">
      <alignment horizontal="center"/>
    </xf>
    <xf numFmtId="164" fontId="2" fillId="4" borderId="22" xfId="3" applyFont="1" applyFill="1" applyBorder="1" applyProtection="1"/>
    <xf numFmtId="164" fontId="0" fillId="0" borderId="0" xfId="3" applyFont="1" applyFill="1" applyBorder="1" applyProtection="1"/>
    <xf numFmtId="164" fontId="12" fillId="0" borderId="0" xfId="3" applyFont="1" applyFill="1" applyBorder="1" applyProtection="1"/>
    <xf numFmtId="164" fontId="0" fillId="0" borderId="0" xfId="3" applyFont="1" applyFill="1" applyBorder="1"/>
    <xf numFmtId="9" fontId="9" fillId="0" borderId="0" xfId="4" applyFont="1" applyFill="1" applyBorder="1" applyProtection="1">
      <protection locked="0"/>
    </xf>
    <xf numFmtId="164" fontId="4" fillId="0" borderId="0" xfId="3" applyFont="1" applyFill="1" applyBorder="1" applyProtection="1"/>
    <xf numFmtId="164" fontId="9" fillId="0" borderId="0" xfId="3" applyFont="1" applyFill="1" applyBorder="1" applyProtection="1">
      <protection locked="0"/>
    </xf>
    <xf numFmtId="164" fontId="12" fillId="0" borderId="0" xfId="3" applyFont="1" applyBorder="1"/>
    <xf numFmtId="164" fontId="2" fillId="0" borderId="0" xfId="3" applyFont="1" applyFill="1" applyBorder="1" applyAlignment="1" applyProtection="1">
      <alignment horizontal="center"/>
    </xf>
    <xf numFmtId="164" fontId="12" fillId="0" borderId="12" xfId="3" quotePrefix="1" applyFont="1" applyBorder="1"/>
    <xf numFmtId="9" fontId="9" fillId="0" borderId="0" xfId="4" applyFont="1" applyBorder="1" applyAlignment="1" applyProtection="1">
      <alignment horizontal="center"/>
      <protection locked="0"/>
    </xf>
    <xf numFmtId="164" fontId="12" fillId="5" borderId="12" xfId="3" applyFont="1" applyFill="1" applyBorder="1"/>
    <xf numFmtId="164" fontId="2" fillId="0" borderId="0" xfId="3" applyFont="1" applyFill="1" applyBorder="1" applyAlignment="1">
      <alignment horizontal="center"/>
    </xf>
    <xf numFmtId="164" fontId="0" fillId="0" borderId="0" xfId="3" applyFont="1" applyAlignment="1">
      <alignment horizontal="center"/>
    </xf>
    <xf numFmtId="164" fontId="0" fillId="0" borderId="0" xfId="3" applyFont="1" applyFill="1" applyBorder="1" applyProtection="1">
      <protection locked="0"/>
    </xf>
    <xf numFmtId="164" fontId="2" fillId="0" borderId="0" xfId="3" applyFont="1" applyFill="1" applyBorder="1" applyAlignment="1" applyProtection="1">
      <alignment horizontal="right"/>
      <protection locked="0"/>
    </xf>
    <xf numFmtId="164" fontId="0" fillId="0" borderId="0" xfId="3" applyFont="1" applyBorder="1" applyAlignment="1" applyProtection="1">
      <alignment horizontal="left"/>
      <protection locked="0"/>
    </xf>
    <xf numFmtId="164" fontId="9" fillId="0" borderId="0" xfId="3" applyFont="1" applyProtection="1">
      <protection locked="0"/>
    </xf>
    <xf numFmtId="164" fontId="2" fillId="0" borderId="0" xfId="3" applyFont="1" applyFill="1" applyBorder="1" applyProtection="1"/>
    <xf numFmtId="164" fontId="2" fillId="0" borderId="0" xfId="3" applyFont="1" applyBorder="1" applyProtection="1"/>
    <xf numFmtId="164" fontId="2" fillId="0" borderId="1" xfId="3" applyFont="1" applyBorder="1" applyProtection="1">
      <protection locked="0"/>
    </xf>
    <xf numFmtId="0" fontId="7" fillId="0" borderId="0" xfId="2" applyAlignment="1" applyProtection="1"/>
    <xf numFmtId="164" fontId="2" fillId="3" borderId="22" xfId="3" applyFont="1" applyFill="1" applyBorder="1" applyProtection="1"/>
    <xf numFmtId="164" fontId="0" fillId="3" borderId="18" xfId="3" applyFont="1" applyFill="1" applyBorder="1" applyProtection="1"/>
    <xf numFmtId="0" fontId="2" fillId="7" borderId="12" xfId="3" applyNumberFormat="1" applyFont="1" applyFill="1" applyBorder="1" applyAlignment="1" applyProtection="1">
      <alignment horizontal="center"/>
      <protection locked="0"/>
    </xf>
    <xf numFmtId="164" fontId="9" fillId="0" borderId="1" xfId="3" applyFont="1" applyBorder="1" applyProtection="1">
      <protection locked="0"/>
    </xf>
    <xf numFmtId="164" fontId="9" fillId="0" borderId="0" xfId="3" applyNumberFormat="1" applyFont="1" applyBorder="1" applyProtection="1">
      <protection locked="0"/>
    </xf>
    <xf numFmtId="164" fontId="9" fillId="0" borderId="0" xfId="2" applyNumberFormat="1" applyFont="1" applyAlignment="1" applyProtection="1">
      <alignment horizontal="center"/>
    </xf>
    <xf numFmtId="164" fontId="2" fillId="6" borderId="12" xfId="3" applyFon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0" xfId="3" applyNumberFormat="1" applyFont="1" applyAlignment="1">
      <alignment horizontal="center"/>
    </xf>
    <xf numFmtId="164" fontId="0" fillId="0" borderId="19" xfId="3" applyFont="1" applyBorder="1" applyAlignment="1">
      <alignment horizontal="center"/>
    </xf>
    <xf numFmtId="0" fontId="0" fillId="0" borderId="19" xfId="3" applyNumberFormat="1" applyFont="1" applyBorder="1" applyAlignment="1">
      <alignment horizontal="center"/>
    </xf>
    <xf numFmtId="164" fontId="0" fillId="0" borderId="20" xfId="3" applyFont="1" applyBorder="1" applyAlignment="1">
      <alignment horizontal="center"/>
    </xf>
    <xf numFmtId="0" fontId="0" fillId="0" borderId="20" xfId="3" applyNumberFormat="1" applyFont="1" applyBorder="1" applyAlignment="1">
      <alignment horizontal="center"/>
    </xf>
    <xf numFmtId="164" fontId="0" fillId="0" borderId="21" xfId="3" applyFont="1" applyBorder="1" applyAlignment="1">
      <alignment horizontal="center"/>
    </xf>
    <xf numFmtId="0" fontId="0" fillId="0" borderId="21" xfId="3" applyNumberFormat="1" applyFont="1" applyBorder="1" applyAlignment="1">
      <alignment horizontal="center"/>
    </xf>
    <xf numFmtId="164" fontId="0" fillId="0" borderId="21" xfId="3" applyFont="1" applyBorder="1"/>
    <xf numFmtId="164" fontId="6" fillId="0" borderId="0" xfId="3" applyFont="1"/>
    <xf numFmtId="170" fontId="12" fillId="0" borderId="12" xfId="3" applyNumberFormat="1" applyFont="1" applyBorder="1"/>
    <xf numFmtId="164" fontId="7" fillId="0" borderId="0" xfId="2" applyNumberFormat="1" applyFont="1" applyAlignment="1" applyProtection="1">
      <alignment horizontal="right"/>
    </xf>
    <xf numFmtId="164" fontId="2" fillId="0" borderId="12" xfId="3" applyFont="1" applyBorder="1" applyAlignment="1" applyProtection="1">
      <alignment horizontal="center"/>
      <protection locked="0"/>
    </xf>
    <xf numFmtId="14" fontId="2" fillId="0" borderId="12" xfId="3" applyNumberFormat="1" applyFont="1" applyBorder="1" applyAlignment="1" applyProtection="1">
      <alignment horizontal="center"/>
      <protection locked="0"/>
    </xf>
    <xf numFmtId="0" fontId="2" fillId="0" borderId="12" xfId="3" applyNumberFormat="1" applyFont="1" applyBorder="1" applyAlignment="1" applyProtection="1">
      <alignment horizontal="center"/>
      <protection locked="0"/>
    </xf>
    <xf numFmtId="9" fontId="2" fillId="0" borderId="12" xfId="4" applyNumberFormat="1" applyFont="1" applyBorder="1" applyAlignment="1" applyProtection="1">
      <alignment horizontal="center"/>
      <protection locked="0"/>
    </xf>
    <xf numFmtId="169" fontId="7" fillId="0" borderId="0" xfId="2" applyNumberFormat="1" applyAlignment="1" applyProtection="1">
      <protection hidden="1"/>
    </xf>
    <xf numFmtId="174" fontId="12" fillId="0" borderId="12" xfId="0" applyNumberFormat="1" applyFont="1" applyBorder="1"/>
    <xf numFmtId="170" fontId="12" fillId="0" borderId="12" xfId="3" applyNumberFormat="1" applyFont="1" applyBorder="1" applyAlignment="1">
      <alignment horizontal="right"/>
    </xf>
    <xf numFmtId="0" fontId="12" fillId="0" borderId="12" xfId="0" applyFont="1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right"/>
    </xf>
    <xf numFmtId="0" fontId="0" fillId="0" borderId="27" xfId="0" applyBorder="1"/>
    <xf numFmtId="0" fontId="0" fillId="0" borderId="1" xfId="0" applyBorder="1"/>
    <xf numFmtId="0" fontId="0" fillId="0" borderId="28" xfId="0" applyBorder="1" applyAlignment="1">
      <alignment horizontal="right"/>
    </xf>
    <xf numFmtId="0" fontId="0" fillId="0" borderId="0" xfId="0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2" xfId="0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</xf>
    <xf numFmtId="176" fontId="0" fillId="0" borderId="12" xfId="3" applyNumberFormat="1" applyFont="1" applyBorder="1" applyProtection="1">
      <protection locked="0" hidden="1"/>
    </xf>
    <xf numFmtId="0" fontId="0" fillId="3" borderId="22" xfId="0" applyFill="1" applyBorder="1"/>
    <xf numFmtId="0" fontId="0" fillId="3" borderId="23" xfId="0" applyFill="1" applyBorder="1"/>
    <xf numFmtId="0" fontId="2" fillId="3" borderId="18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164" fontId="2" fillId="8" borderId="22" xfId="3" applyFont="1" applyFill="1" applyBorder="1" applyProtection="1">
      <protection locked="0"/>
    </xf>
    <xf numFmtId="164" fontId="0" fillId="8" borderId="23" xfId="3" applyFont="1" applyFill="1" applyBorder="1" applyProtection="1">
      <protection locked="0"/>
    </xf>
    <xf numFmtId="164" fontId="7" fillId="8" borderId="18" xfId="2" applyNumberFormat="1" applyFont="1" applyFill="1" applyBorder="1" applyAlignment="1" applyProtection="1">
      <protection locked="0"/>
    </xf>
    <xf numFmtId="164" fontId="2" fillId="5" borderId="22" xfId="3" applyFont="1" applyFill="1" applyBorder="1" applyProtection="1">
      <protection locked="0"/>
    </xf>
    <xf numFmtId="164" fontId="0" fillId="5" borderId="23" xfId="3" applyFont="1" applyFill="1" applyBorder="1" applyProtection="1">
      <protection locked="0"/>
    </xf>
    <xf numFmtId="164" fontId="7" fillId="5" borderId="18" xfId="2" applyNumberFormat="1" applyFont="1" applyFill="1" applyBorder="1" applyAlignment="1" applyProtection="1">
      <protection locked="0"/>
    </xf>
    <xf numFmtId="0" fontId="27" fillId="9" borderId="12" xfId="3" applyNumberFormat="1" applyFont="1" applyFill="1" applyBorder="1" applyAlignment="1" applyProtection="1">
      <alignment horizontal="center"/>
      <protection locked="0"/>
    </xf>
    <xf numFmtId="164" fontId="2" fillId="8" borderId="23" xfId="3" applyFont="1" applyFill="1" applyBorder="1" applyProtection="1">
      <protection locked="0"/>
    </xf>
    <xf numFmtId="164" fontId="2" fillId="5" borderId="23" xfId="3" applyFont="1" applyFill="1" applyBorder="1" applyProtection="1">
      <protection locked="0"/>
    </xf>
    <xf numFmtId="164" fontId="20" fillId="0" borderId="0" xfId="0" applyNumberFormat="1" applyFont="1"/>
    <xf numFmtId="0" fontId="2" fillId="0" borderId="0" xfId="0" applyFont="1" applyProtection="1">
      <protection locked="0"/>
    </xf>
    <xf numFmtId="164" fontId="12" fillId="0" borderId="1" xfId="3" applyFont="1" applyBorder="1"/>
    <xf numFmtId="0" fontId="28" fillId="0" borderId="0" xfId="0" applyFont="1"/>
    <xf numFmtId="10" fontId="12" fillId="0" borderId="0" xfId="4" applyNumberFormat="1" applyFont="1"/>
    <xf numFmtId="0" fontId="2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167" fontId="0" fillId="0" borderId="0" xfId="3" applyNumberFormat="1" applyFont="1" applyAlignment="1">
      <alignment horizontal="center"/>
    </xf>
    <xf numFmtId="0" fontId="2" fillId="0" borderId="21" xfId="0" applyFont="1" applyBorder="1" applyAlignment="1" applyProtection="1">
      <alignment horizontal="center"/>
      <protection locked="0"/>
    </xf>
    <xf numFmtId="164" fontId="12" fillId="0" borderId="0" xfId="0" applyNumberFormat="1" applyFont="1"/>
    <xf numFmtId="0" fontId="12" fillId="0" borderId="0" xfId="0" applyFont="1"/>
    <xf numFmtId="171" fontId="2" fillId="0" borderId="0" xfId="4" applyNumberFormat="1" applyFont="1" applyProtection="1">
      <protection locked="0"/>
    </xf>
    <xf numFmtId="0" fontId="0" fillId="0" borderId="18" xfId="0" applyBorder="1" applyAlignment="1">
      <alignment horizontal="center"/>
    </xf>
    <xf numFmtId="171" fontId="30" fillId="10" borderId="0" xfId="0" applyNumberFormat="1" applyFont="1" applyFill="1" applyAlignment="1">
      <alignment horizontal="right"/>
    </xf>
    <xf numFmtId="166" fontId="32" fillId="0" borderId="0" xfId="4" applyNumberFormat="1" applyFont="1"/>
    <xf numFmtId="164" fontId="9" fillId="11" borderId="0" xfId="0" applyNumberFormat="1" applyFont="1" applyFill="1"/>
    <xf numFmtId="0" fontId="19" fillId="0" borderId="0" xfId="0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  <xf numFmtId="167" fontId="12" fillId="0" borderId="0" xfId="3" applyNumberFormat="1" applyFont="1" applyAlignment="1"/>
    <xf numFmtId="167" fontId="12" fillId="0" borderId="0" xfId="3" applyNumberFormat="1" applyFont="1"/>
    <xf numFmtId="164" fontId="12" fillId="0" borderId="0" xfId="3" applyNumberFormat="1" applyFont="1" applyAlignment="1"/>
    <xf numFmtId="164" fontId="30" fillId="10" borderId="0" xfId="0" applyNumberFormat="1" applyFont="1" applyFill="1"/>
    <xf numFmtId="0" fontId="0" fillId="0" borderId="19" xfId="0" applyFill="1" applyBorder="1" applyAlignment="1">
      <alignment horizontal="center"/>
    </xf>
    <xf numFmtId="0" fontId="2" fillId="12" borderId="22" xfId="0" applyFont="1" applyFill="1" applyBorder="1" applyAlignment="1">
      <alignment horizontal="center"/>
    </xf>
    <xf numFmtId="0" fontId="2" fillId="12" borderId="18" xfId="0" applyFont="1" applyFill="1" applyBorder="1" applyAlignment="1">
      <alignment horizontal="center"/>
    </xf>
    <xf numFmtId="164" fontId="9" fillId="0" borderId="0" xfId="2" applyNumberFormat="1" applyFont="1" applyAlignment="1" applyProtection="1">
      <alignment horizontal="left"/>
    </xf>
    <xf numFmtId="164" fontId="30" fillId="13" borderId="0" xfId="3" applyFont="1" applyFill="1" applyBorder="1" applyAlignment="1" applyProtection="1">
      <alignment horizontal="center"/>
    </xf>
    <xf numFmtId="164" fontId="2" fillId="0" borderId="0" xfId="3" applyFont="1" applyFill="1" applyBorder="1" applyProtection="1">
      <protection locked="0"/>
    </xf>
    <xf numFmtId="164" fontId="7" fillId="0" borderId="0" xfId="2" applyNumberFormat="1" applyFont="1" applyFill="1" applyBorder="1" applyAlignment="1" applyProtection="1">
      <protection locked="0"/>
    </xf>
    <xf numFmtId="164" fontId="0" fillId="0" borderId="0" xfId="0" applyNumberFormat="1"/>
    <xf numFmtId="164" fontId="0" fillId="0" borderId="12" xfId="0" applyNumberFormat="1" applyBorder="1"/>
    <xf numFmtId="0" fontId="0" fillId="3" borderId="18" xfId="0" applyFill="1" applyBorder="1"/>
    <xf numFmtId="0" fontId="0" fillId="0" borderId="12" xfId="0" applyFill="1" applyBorder="1" applyAlignment="1">
      <alignment horizontal="center"/>
    </xf>
    <xf numFmtId="164" fontId="9" fillId="14" borderId="12" xfId="3" applyFont="1" applyFill="1" applyBorder="1"/>
    <xf numFmtId="164" fontId="9" fillId="14" borderId="12" xfId="0" applyNumberFormat="1" applyFont="1" applyFill="1" applyBorder="1"/>
    <xf numFmtId="0" fontId="26" fillId="0" borderId="0" xfId="0" applyFont="1"/>
    <xf numFmtId="164" fontId="9" fillId="0" borderId="12" xfId="3" applyNumberFormat="1" applyFont="1" applyFill="1" applyBorder="1" applyProtection="1">
      <protection locked="0"/>
    </xf>
    <xf numFmtId="164" fontId="9" fillId="0" borderId="12" xfId="0" applyNumberFormat="1" applyFont="1" applyFill="1" applyBorder="1"/>
    <xf numFmtId="0" fontId="27" fillId="15" borderId="1" xfId="3" applyNumberFormat="1" applyFont="1" applyFill="1" applyBorder="1" applyAlignment="1" applyProtection="1">
      <alignment horizontal="center"/>
      <protection locked="0"/>
    </xf>
    <xf numFmtId="0" fontId="0" fillId="4" borderId="18" xfId="0" applyFill="1" applyBorder="1"/>
    <xf numFmtId="0" fontId="0" fillId="0" borderId="0" xfId="0" applyProtection="1">
      <protection locked="0"/>
    </xf>
    <xf numFmtId="164" fontId="2" fillId="0" borderId="25" xfId="3" applyFont="1" applyFill="1" applyBorder="1" applyProtection="1"/>
    <xf numFmtId="0" fontId="0" fillId="0" borderId="25" xfId="0" applyFill="1" applyBorder="1"/>
    <xf numFmtId="164" fontId="2" fillId="0" borderId="25" xfId="3" applyFont="1" applyFill="1" applyBorder="1" applyProtection="1">
      <protection locked="0"/>
    </xf>
    <xf numFmtId="164" fontId="0" fillId="0" borderId="25" xfId="3" applyFont="1" applyFill="1" applyBorder="1" applyProtection="1">
      <protection locked="0"/>
    </xf>
    <xf numFmtId="164" fontId="7" fillId="0" borderId="25" xfId="2" applyNumberFormat="1" applyFont="1" applyFill="1" applyBorder="1" applyAlignment="1" applyProtection="1">
      <protection locked="0"/>
    </xf>
    <xf numFmtId="164" fontId="12" fillId="0" borderId="25" xfId="3" applyFont="1" applyBorder="1" applyProtection="1"/>
    <xf numFmtId="164" fontId="12" fillId="0" borderId="25" xfId="0" applyNumberFormat="1" applyFont="1" applyBorder="1"/>
    <xf numFmtId="0" fontId="20" fillId="0" borderId="0" xfId="0" applyFont="1"/>
    <xf numFmtId="0" fontId="16" fillId="0" borderId="29" xfId="0" applyFont="1" applyBorder="1" applyAlignment="1">
      <alignment horizontal="center" vertical="top"/>
    </xf>
    <xf numFmtId="0" fontId="16" fillId="0" borderId="29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6" fillId="0" borderId="30" xfId="0" applyFont="1" applyBorder="1" applyAlignment="1">
      <alignment horizontal="center" vertical="top" wrapText="1"/>
    </xf>
    <xf numFmtId="0" fontId="14" fillId="0" borderId="0" xfId="0" applyFont="1" applyAlignment="1">
      <alignment wrapText="1"/>
    </xf>
    <xf numFmtId="164" fontId="0" fillId="5" borderId="12" xfId="3" applyFont="1" applyFill="1" applyBorder="1"/>
    <xf numFmtId="164" fontId="12" fillId="0" borderId="24" xfId="3" applyFont="1" applyBorder="1" applyProtection="1"/>
    <xf numFmtId="164" fontId="12" fillId="0" borderId="31" xfId="0" applyNumberFormat="1" applyFont="1" applyBorder="1"/>
    <xf numFmtId="164" fontId="12" fillId="0" borderId="12" xfId="0" applyNumberFormat="1" applyFont="1" applyFill="1" applyBorder="1"/>
    <xf numFmtId="0" fontId="0" fillId="0" borderId="26" xfId="0" applyBorder="1"/>
    <xf numFmtId="0" fontId="0" fillId="0" borderId="32" xfId="0" applyBorder="1"/>
    <xf numFmtId="0" fontId="0" fillId="0" borderId="31" xfId="0" applyBorder="1"/>
    <xf numFmtId="0" fontId="2" fillId="12" borderId="12" xfId="0" applyFont="1" applyFill="1" applyBorder="1" applyAlignment="1">
      <alignment horizontal="center"/>
    </xf>
    <xf numFmtId="167" fontId="12" fillId="0" borderId="12" xfId="3" applyNumberFormat="1" applyFont="1" applyBorder="1" applyAlignment="1">
      <alignment horizontal="center"/>
    </xf>
    <xf numFmtId="0" fontId="2" fillId="5" borderId="12" xfId="3" applyNumberFormat="1" applyFont="1" applyFill="1" applyBorder="1" applyAlignment="1" applyProtection="1">
      <alignment horizontal="center"/>
      <protection hidden="1"/>
    </xf>
    <xf numFmtId="169" fontId="0" fillId="5" borderId="12" xfId="3" applyNumberFormat="1" applyFont="1" applyFill="1" applyBorder="1" applyProtection="1">
      <protection locked="0" hidden="1"/>
    </xf>
    <xf numFmtId="169" fontId="2" fillId="5" borderId="18" xfId="3" quotePrefix="1" applyNumberFormat="1" applyFont="1" applyFill="1" applyBorder="1" applyAlignment="1" applyProtection="1">
      <alignment horizontal="center"/>
      <protection hidden="1"/>
    </xf>
    <xf numFmtId="169" fontId="19" fillId="5" borderId="12" xfId="3" applyNumberFormat="1" applyFont="1" applyFill="1" applyBorder="1" applyProtection="1">
      <protection locked="0" hidden="1"/>
    </xf>
    <xf numFmtId="169" fontId="0" fillId="11" borderId="12" xfId="3" applyNumberFormat="1" applyFont="1" applyFill="1" applyBorder="1" applyProtection="1">
      <protection locked="0" hidden="1"/>
    </xf>
    <xf numFmtId="176" fontId="0" fillId="5" borderId="12" xfId="3" applyNumberFormat="1" applyFont="1" applyFill="1" applyBorder="1" applyProtection="1">
      <protection locked="0" hidden="1"/>
    </xf>
    <xf numFmtId="172" fontId="12" fillId="0" borderId="0" xfId="3" applyNumberFormat="1" applyFont="1" applyBorder="1"/>
    <xf numFmtId="172" fontId="12" fillId="0" borderId="0" xfId="0" applyNumberFormat="1" applyFont="1" applyBorder="1"/>
    <xf numFmtId="0" fontId="0" fillId="0" borderId="3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23" fillId="0" borderId="0" xfId="0" applyFont="1"/>
    <xf numFmtId="0" fontId="26" fillId="0" borderId="0" xfId="2" applyFont="1" applyAlignment="1" applyProtection="1"/>
    <xf numFmtId="0" fontId="2" fillId="0" borderId="1" xfId="0" applyFont="1" applyFill="1" applyBorder="1" applyAlignment="1"/>
    <xf numFmtId="0" fontId="2" fillId="4" borderId="12" xfId="0" applyFont="1" applyFill="1" applyBorder="1" applyAlignment="1">
      <alignment horizontal="center"/>
    </xf>
    <xf numFmtId="164" fontId="32" fillId="0" borderId="0" xfId="3" applyFont="1"/>
    <xf numFmtId="0" fontId="0" fillId="6" borderId="19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20" fillId="16" borderId="19" xfId="0" applyFont="1" applyFill="1" applyBorder="1" applyAlignment="1">
      <alignment horizontal="center"/>
    </xf>
    <xf numFmtId="0" fontId="20" fillId="16" borderId="21" xfId="0" applyFont="1" applyFill="1" applyBorder="1" applyAlignment="1">
      <alignment horizontal="center"/>
    </xf>
    <xf numFmtId="0" fontId="9" fillId="0" borderId="12" xfId="0" applyNumberFormat="1" applyFont="1" applyBorder="1" applyAlignment="1" applyProtection="1">
      <alignment horizontal="center"/>
      <protection locked="0"/>
    </xf>
    <xf numFmtId="0" fontId="34" fillId="0" borderId="0" xfId="2" applyFont="1" applyAlignment="1" applyProtection="1"/>
    <xf numFmtId="0" fontId="20" fillId="0" borderId="0" xfId="0" applyFont="1" applyProtection="1">
      <protection locked="0"/>
    </xf>
    <xf numFmtId="0" fontId="0" fillId="0" borderId="0" xfId="0" applyProtection="1"/>
    <xf numFmtId="0" fontId="26" fillId="0" borderId="0" xfId="0" applyFont="1" applyProtection="1">
      <protection locked="0"/>
    </xf>
    <xf numFmtId="164" fontId="12" fillId="0" borderId="21" xfId="3" applyFont="1" applyBorder="1"/>
    <xf numFmtId="164" fontId="0" fillId="0" borderId="0" xfId="0" applyNumberFormat="1" applyBorder="1"/>
    <xf numFmtId="164" fontId="12" fillId="0" borderId="27" xfId="3" applyFont="1" applyBorder="1"/>
    <xf numFmtId="164" fontId="9" fillId="0" borderId="0" xfId="0" applyNumberFormat="1" applyFont="1" applyBorder="1" applyProtection="1">
      <protection locked="0"/>
    </xf>
    <xf numFmtId="172" fontId="12" fillId="0" borderId="0" xfId="0" applyNumberFormat="1" applyFont="1"/>
    <xf numFmtId="172" fontId="12" fillId="0" borderId="1" xfId="0" applyNumberFormat="1" applyFont="1" applyBorder="1"/>
    <xf numFmtId="167" fontId="12" fillId="0" borderId="0" xfId="0" applyNumberFormat="1" applyFont="1"/>
    <xf numFmtId="0" fontId="0" fillId="0" borderId="0" xfId="0" applyFill="1" applyBorder="1" applyAlignment="1"/>
    <xf numFmtId="0" fontId="26" fillId="0" borderId="1" xfId="0" applyFont="1" applyFill="1" applyBorder="1"/>
    <xf numFmtId="164" fontId="9" fillId="0" borderId="27" xfId="3" applyFont="1" applyBorder="1" applyProtection="1">
      <protection locked="0"/>
    </xf>
    <xf numFmtId="164" fontId="9" fillId="0" borderId="31" xfId="3" applyFont="1" applyBorder="1" applyProtection="1">
      <protection locked="0"/>
    </xf>
    <xf numFmtId="164" fontId="12" fillId="0" borderId="20" xfId="3" applyFont="1" applyBorder="1"/>
    <xf numFmtId="164" fontId="12" fillId="0" borderId="20" xfId="0" applyNumberFormat="1" applyFont="1" applyBorder="1"/>
    <xf numFmtId="164" fontId="30" fillId="10" borderId="12" xfId="3" applyFont="1" applyFill="1" applyBorder="1"/>
    <xf numFmtId="164" fontId="31" fillId="10" borderId="12" xfId="0" applyNumberFormat="1" applyFont="1" applyFill="1" applyBorder="1"/>
    <xf numFmtId="164" fontId="30" fillId="10" borderId="12" xfId="0" applyNumberFormat="1" applyFont="1" applyFill="1" applyBorder="1"/>
    <xf numFmtId="0" fontId="2" fillId="0" borderId="22" xfId="0" applyFont="1" applyBorder="1" applyProtection="1">
      <protection locked="0"/>
    </xf>
    <xf numFmtId="0" fontId="2" fillId="0" borderId="18" xfId="0" applyFont="1" applyBorder="1" applyProtection="1">
      <protection locked="0"/>
    </xf>
    <xf numFmtId="164" fontId="9" fillId="0" borderId="21" xfId="3" applyFont="1" applyBorder="1" applyProtection="1">
      <protection locked="0"/>
    </xf>
    <xf numFmtId="164" fontId="9" fillId="0" borderId="20" xfId="3" applyFont="1" applyBorder="1" applyProtection="1">
      <protection locked="0"/>
    </xf>
    <xf numFmtId="170" fontId="12" fillId="0" borderId="0" xfId="0" applyNumberFormat="1" applyFont="1"/>
    <xf numFmtId="167" fontId="12" fillId="0" borderId="0" xfId="0" applyNumberFormat="1" applyFont="1" applyBorder="1"/>
    <xf numFmtId="171" fontId="30" fillId="0" borderId="0" xfId="0" applyNumberFormat="1" applyFont="1" applyFill="1" applyAlignment="1">
      <alignment horizontal="right"/>
    </xf>
    <xf numFmtId="164" fontId="12" fillId="0" borderId="0" xfId="3" applyFont="1" applyProtection="1">
      <protection locked="0"/>
    </xf>
    <xf numFmtId="164" fontId="12" fillId="0" borderId="32" xfId="0" applyNumberFormat="1" applyFont="1" applyBorder="1"/>
    <xf numFmtId="167" fontId="30" fillId="0" borderId="20" xfId="0" applyNumberFormat="1" applyFont="1" applyBorder="1"/>
    <xf numFmtId="0" fontId="2" fillId="0" borderId="22" xfId="0" applyFont="1" applyBorder="1" applyProtection="1"/>
    <xf numFmtId="167" fontId="12" fillId="0" borderId="12" xfId="0" applyNumberFormat="1" applyFont="1" applyBorder="1" applyAlignment="1"/>
    <xf numFmtId="10" fontId="12" fillId="0" borderId="1" xfId="4" applyNumberFormat="1" applyFont="1" applyBorder="1"/>
    <xf numFmtId="164" fontId="2" fillId="17" borderId="12" xfId="3" applyFont="1" applyFill="1" applyBorder="1"/>
    <xf numFmtId="164" fontId="26" fillId="18" borderId="12" xfId="3" applyFont="1" applyFill="1" applyBorder="1" applyAlignment="1">
      <alignment horizontal="center"/>
    </xf>
    <xf numFmtId="0" fontId="0" fillId="16" borderId="19" xfId="0" applyFill="1" applyBorder="1" applyAlignment="1">
      <alignment horizontal="center"/>
    </xf>
    <xf numFmtId="0" fontId="0" fillId="16" borderId="21" xfId="0" applyFill="1" applyBorder="1" applyAlignment="1">
      <alignment horizontal="center"/>
    </xf>
    <xf numFmtId="22" fontId="0" fillId="0" borderId="0" xfId="3" applyNumberFormat="1" applyFont="1"/>
    <xf numFmtId="0" fontId="0" fillId="0" borderId="0" xfId="3" applyNumberFormat="1" applyFont="1"/>
    <xf numFmtId="14" fontId="0" fillId="0" borderId="0" xfId="3" applyNumberFormat="1" applyFont="1"/>
    <xf numFmtId="167" fontId="6" fillId="0" borderId="0" xfId="3" applyNumberFormat="1" applyFont="1"/>
    <xf numFmtId="167" fontId="0" fillId="0" borderId="0" xfId="3" applyNumberFormat="1" applyFont="1"/>
    <xf numFmtId="167" fontId="7" fillId="0" borderId="0" xfId="2" applyNumberFormat="1" applyAlignment="1" applyProtection="1"/>
    <xf numFmtId="167" fontId="0" fillId="0" borderId="12" xfId="3" applyNumberFormat="1" applyFont="1" applyBorder="1"/>
    <xf numFmtId="167" fontId="29" fillId="19" borderId="0" xfId="3" applyNumberFormat="1" applyFont="1" applyFill="1" applyAlignment="1">
      <alignment horizontal="center"/>
    </xf>
    <xf numFmtId="167" fontId="2" fillId="0" borderId="0" xfId="3" applyNumberFormat="1" applyFont="1" applyAlignment="1">
      <alignment horizontal="right"/>
    </xf>
    <xf numFmtId="167" fontId="35" fillId="0" borderId="0" xfId="3" applyNumberFormat="1" applyFont="1" applyFill="1" applyAlignment="1">
      <alignment horizontal="center"/>
    </xf>
    <xf numFmtId="167" fontId="36" fillId="19" borderId="0" xfId="3" applyNumberFormat="1" applyFont="1" applyFill="1" applyAlignment="1">
      <alignment horizontal="center"/>
    </xf>
    <xf numFmtId="167" fontId="2" fillId="0" borderId="0" xfId="3" applyNumberFormat="1" applyFont="1"/>
    <xf numFmtId="170" fontId="0" fillId="0" borderId="12" xfId="3" applyNumberFormat="1" applyFont="1" applyBorder="1"/>
    <xf numFmtId="164" fontId="12" fillId="0" borderId="13" xfId="3" applyFont="1" applyBorder="1"/>
    <xf numFmtId="167" fontId="2" fillId="0" borderId="12" xfId="3" applyNumberFormat="1" applyFont="1" applyBorder="1" applyProtection="1">
      <protection locked="0"/>
    </xf>
    <xf numFmtId="0" fontId="20" fillId="0" borderId="0" xfId="0" applyFont="1" applyBorder="1"/>
    <xf numFmtId="167" fontId="35" fillId="20" borderId="22" xfId="3" applyNumberFormat="1" applyFont="1" applyFill="1" applyBorder="1" applyAlignment="1">
      <alignment horizontal="center"/>
    </xf>
    <xf numFmtId="167" fontId="35" fillId="20" borderId="18" xfId="3" applyNumberFormat="1" applyFont="1" applyFill="1" applyBorder="1" applyAlignment="1">
      <alignment horizontal="center"/>
    </xf>
    <xf numFmtId="175" fontId="12" fillId="0" borderId="12" xfId="3" applyNumberFormat="1" applyFont="1" applyBorder="1" applyAlignment="1" applyProtection="1">
      <alignment horizontal="center"/>
      <protection locked="0"/>
    </xf>
    <xf numFmtId="10" fontId="12" fillId="0" borderId="0" xfId="4" applyNumberFormat="1" applyFont="1" applyBorder="1"/>
    <xf numFmtId="170" fontId="0" fillId="0" borderId="0" xfId="3" applyNumberFormat="1" applyFont="1" applyBorder="1"/>
    <xf numFmtId="171" fontId="12" fillId="0" borderId="12" xfId="4" applyNumberFormat="1" applyFont="1" applyBorder="1"/>
    <xf numFmtId="164" fontId="38" fillId="21" borderId="12" xfId="3" applyFont="1" applyFill="1" applyBorder="1" applyAlignment="1">
      <alignment horizontal="center"/>
    </xf>
    <xf numFmtId="164" fontId="38" fillId="21" borderId="19" xfId="3" applyFont="1" applyFill="1" applyBorder="1" applyAlignment="1">
      <alignment horizontal="center"/>
    </xf>
    <xf numFmtId="164" fontId="38" fillId="21" borderId="20" xfId="3" applyFont="1" applyFill="1" applyBorder="1" applyAlignment="1">
      <alignment horizontal="center"/>
    </xf>
    <xf numFmtId="164" fontId="38" fillId="21" borderId="21" xfId="3" applyFont="1" applyFill="1" applyBorder="1" applyAlignment="1">
      <alignment horizontal="center"/>
    </xf>
    <xf numFmtId="167" fontId="39" fillId="0" borderId="12" xfId="3" applyNumberFormat="1" applyFont="1" applyBorder="1" applyProtection="1">
      <protection locked="0"/>
    </xf>
    <xf numFmtId="164" fontId="39" fillId="0" borderId="12" xfId="3" applyFont="1" applyBorder="1" applyProtection="1">
      <protection locked="0"/>
    </xf>
    <xf numFmtId="164" fontId="40" fillId="0" borderId="12" xfId="3" applyFont="1" applyBorder="1" applyProtection="1"/>
    <xf numFmtId="164" fontId="41" fillId="0" borderId="0" xfId="3" applyFont="1" applyProtection="1"/>
    <xf numFmtId="0" fontId="8" fillId="0" borderId="0" xfId="0" applyFont="1" applyBorder="1"/>
    <xf numFmtId="0" fontId="15" fillId="0" borderId="0" xfId="0" applyFont="1" applyBorder="1"/>
    <xf numFmtId="0" fontId="19" fillId="0" borderId="0" xfId="0" applyFont="1"/>
    <xf numFmtId="0" fontId="19" fillId="0" borderId="0" xfId="0" applyFont="1" applyFill="1" applyBorder="1"/>
    <xf numFmtId="0" fontId="19" fillId="0" borderId="1" xfId="0" applyFont="1" applyBorder="1" applyAlignment="1">
      <alignment horizontal="center"/>
    </xf>
    <xf numFmtId="164" fontId="42" fillId="0" borderId="12" xfId="3" applyFont="1" applyBorder="1"/>
    <xf numFmtId="0" fontId="19" fillId="0" borderId="0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64" fontId="2" fillId="0" borderId="25" xfId="0" applyNumberFormat="1" applyFont="1" applyBorder="1"/>
    <xf numFmtId="167" fontId="19" fillId="0" borderId="25" xfId="3" applyNumberFormat="1" applyFont="1" applyBorder="1"/>
    <xf numFmtId="0" fontId="19" fillId="0" borderId="0" xfId="0" applyFont="1" applyAlignment="1">
      <alignment horizontal="right"/>
    </xf>
    <xf numFmtId="164" fontId="38" fillId="0" borderId="0" xfId="0" applyNumberFormat="1" applyFont="1"/>
    <xf numFmtId="164" fontId="44" fillId="0" borderId="12" xfId="3" applyFont="1" applyBorder="1"/>
    <xf numFmtId="164" fontId="44" fillId="0" borderId="0" xfId="3" applyFont="1"/>
    <xf numFmtId="164" fontId="44" fillId="0" borderId="13" xfId="3" applyFont="1" applyBorder="1"/>
    <xf numFmtId="164" fontId="44" fillId="0" borderId="0" xfId="3" applyFont="1" applyBorder="1"/>
    <xf numFmtId="164" fontId="44" fillId="0" borderId="19" xfId="3" applyFont="1" applyBorder="1"/>
    <xf numFmtId="164" fontId="44" fillId="0" borderId="0" xfId="3" applyFont="1" applyProtection="1"/>
    <xf numFmtId="164" fontId="44" fillId="0" borderId="0" xfId="3" applyFont="1" applyBorder="1" applyProtection="1"/>
    <xf numFmtId="164" fontId="39" fillId="0" borderId="13" xfId="3" applyFont="1" applyBorder="1" applyProtection="1">
      <protection locked="0"/>
    </xf>
    <xf numFmtId="164" fontId="44" fillId="0" borderId="13" xfId="3" applyFont="1" applyBorder="1" applyProtection="1">
      <protection locked="0"/>
    </xf>
    <xf numFmtId="164" fontId="44" fillId="0" borderId="13" xfId="3" applyFont="1" applyBorder="1" applyProtection="1"/>
    <xf numFmtId="164" fontId="44" fillId="5" borderId="13" xfId="3" applyFont="1" applyFill="1" applyBorder="1" applyProtection="1"/>
    <xf numFmtId="172" fontId="44" fillId="5" borderId="12" xfId="3" applyNumberFormat="1" applyFont="1" applyFill="1" applyBorder="1"/>
    <xf numFmtId="0" fontId="38" fillId="0" borderId="0" xfId="0" applyFont="1"/>
    <xf numFmtId="0" fontId="0" fillId="0" borderId="0" xfId="0" applyFill="1" applyBorder="1"/>
    <xf numFmtId="14" fontId="2" fillId="0" borderId="0" xfId="0" applyNumberFormat="1" applyFont="1" applyFill="1" applyBorder="1" applyProtection="1">
      <protection locked="0"/>
    </xf>
    <xf numFmtId="0" fontId="0" fillId="0" borderId="0" xfId="0" applyFill="1" applyBorder="1" applyAlignment="1">
      <alignment horizontal="right"/>
    </xf>
    <xf numFmtId="0" fontId="2" fillId="0" borderId="0" xfId="0" applyFont="1" applyFill="1" applyBorder="1" applyProtection="1">
      <protection locked="0"/>
    </xf>
    <xf numFmtId="173" fontId="2" fillId="0" borderId="0" xfId="0" applyNumberFormat="1" applyFont="1" applyFill="1" applyBorder="1"/>
    <xf numFmtId="167" fontId="19" fillId="0" borderId="0" xfId="3" applyNumberFormat="1" applyFont="1" applyFill="1" applyBorder="1"/>
    <xf numFmtId="167" fontId="2" fillId="0" borderId="0" xfId="3" applyNumberFormat="1" applyFont="1" applyFill="1" applyBorder="1" applyProtection="1">
      <protection locked="0"/>
    </xf>
    <xf numFmtId="9" fontId="19" fillId="0" borderId="0" xfId="0" applyNumberFormat="1" applyFont="1" applyFill="1" applyBorder="1"/>
    <xf numFmtId="167" fontId="2" fillId="0" borderId="0" xfId="3" applyNumberFormat="1" applyFont="1" applyFill="1" applyBorder="1"/>
    <xf numFmtId="167" fontId="2" fillId="0" borderId="0" xfId="0" applyNumberFormat="1" applyFont="1" applyFill="1" applyBorder="1"/>
    <xf numFmtId="0" fontId="2" fillId="0" borderId="0" xfId="0" applyFont="1" applyFill="1" applyBorder="1"/>
    <xf numFmtId="173" fontId="2" fillId="0" borderId="0" xfId="0" quotePrefix="1" applyNumberFormat="1" applyFont="1" applyFill="1" applyBorder="1"/>
    <xf numFmtId="0" fontId="43" fillId="0" borderId="0" xfId="0" applyFont="1" applyFill="1" applyBorder="1" applyAlignment="1">
      <alignment horizontal="center"/>
    </xf>
    <xf numFmtId="167" fontId="2" fillId="0" borderId="12" xfId="3" applyNumberFormat="1" applyFont="1" applyBorder="1" applyAlignment="1">
      <alignment horizontal="center"/>
    </xf>
    <xf numFmtId="167" fontId="44" fillId="0" borderId="12" xfId="3" applyNumberFormat="1" applyFont="1" applyBorder="1"/>
    <xf numFmtId="167" fontId="0" fillId="0" borderId="25" xfId="3" applyNumberFormat="1" applyFont="1" applyBorder="1"/>
    <xf numFmtId="167" fontId="45" fillId="0" borderId="0" xfId="3" applyNumberFormat="1" applyFont="1"/>
    <xf numFmtId="0" fontId="37" fillId="0" borderId="0" xfId="0" applyFont="1"/>
    <xf numFmtId="164" fontId="48" fillId="0" borderId="0" xfId="3" applyFont="1" applyBorder="1"/>
    <xf numFmtId="0" fontId="48" fillId="0" borderId="0" xfId="0" applyFont="1"/>
    <xf numFmtId="164" fontId="48" fillId="0" borderId="0" xfId="0" applyNumberFormat="1" applyFont="1"/>
    <xf numFmtId="164" fontId="48" fillId="0" borderId="0" xfId="3" applyFont="1"/>
    <xf numFmtId="164" fontId="48" fillId="0" borderId="12" xfId="0" applyNumberFormat="1" applyFont="1" applyBorder="1"/>
    <xf numFmtId="177" fontId="12" fillId="0" borderId="0" xfId="0" applyNumberFormat="1" applyFont="1"/>
    <xf numFmtId="164" fontId="48" fillId="0" borderId="12" xfId="3" applyFont="1" applyBorder="1"/>
    <xf numFmtId="165" fontId="48" fillId="0" borderId="0" xfId="0" applyNumberFormat="1" applyFont="1" applyAlignment="1"/>
    <xf numFmtId="0" fontId="49" fillId="0" borderId="0" xfId="0" applyFont="1"/>
    <xf numFmtId="171" fontId="30" fillId="10" borderId="0" xfId="0" applyNumberFormat="1" applyFont="1" applyFill="1" applyAlignment="1" applyProtection="1">
      <alignment horizontal="right"/>
    </xf>
    <xf numFmtId="164" fontId="10" fillId="0" borderId="13" xfId="3" applyFont="1" applyBorder="1" applyProtection="1"/>
    <xf numFmtId="164" fontId="19" fillId="0" borderId="0" xfId="3" applyFont="1"/>
    <xf numFmtId="164" fontId="7" fillId="0" borderId="0" xfId="3" applyFont="1" applyAlignment="1" applyProtection="1"/>
    <xf numFmtId="164" fontId="19" fillId="0" borderId="12" xfId="3" applyFont="1" applyBorder="1" applyAlignment="1">
      <alignment horizontal="center"/>
    </xf>
    <xf numFmtId="164" fontId="50" fillId="0" borderId="0" xfId="3" applyFont="1"/>
    <xf numFmtId="164" fontId="19" fillId="0" borderId="0" xfId="3" applyFont="1" applyFill="1" applyBorder="1"/>
    <xf numFmtId="164" fontId="19" fillId="0" borderId="0" xfId="3" applyFont="1" applyAlignment="1">
      <alignment horizontal="center"/>
    </xf>
    <xf numFmtId="164" fontId="50" fillId="0" borderId="12" xfId="3" applyFont="1" applyBorder="1"/>
    <xf numFmtId="164" fontId="51" fillId="22" borderId="12" xfId="3" applyFont="1" applyFill="1" applyBorder="1"/>
    <xf numFmtId="10" fontId="50" fillId="0" borderId="12" xfId="4" applyNumberFormat="1" applyFont="1" applyBorder="1"/>
    <xf numFmtId="164" fontId="47" fillId="20" borderId="12" xfId="3" applyFont="1" applyFill="1" applyBorder="1"/>
    <xf numFmtId="164" fontId="51" fillId="21" borderId="33" xfId="3" applyFont="1" applyFill="1" applyBorder="1" applyAlignment="1">
      <alignment horizontal="center"/>
    </xf>
    <xf numFmtId="164" fontId="51" fillId="21" borderId="34" xfId="3" applyFont="1" applyFill="1" applyBorder="1" applyAlignment="1">
      <alignment horizontal="center"/>
    </xf>
    <xf numFmtId="164" fontId="2" fillId="0" borderId="0" xfId="3" applyFont="1" applyAlignment="1">
      <alignment horizontal="left"/>
    </xf>
    <xf numFmtId="164" fontId="2" fillId="7" borderId="12" xfId="3" applyFont="1" applyFill="1" applyBorder="1" applyAlignment="1">
      <alignment horizontal="center"/>
    </xf>
    <xf numFmtId="164" fontId="51" fillId="21" borderId="35" xfId="3" applyFont="1" applyFill="1" applyBorder="1" applyAlignment="1">
      <alignment horizontal="center"/>
    </xf>
    <xf numFmtId="164" fontId="19" fillId="0" borderId="0" xfId="3" applyFont="1" applyBorder="1" applyAlignment="1">
      <alignment horizontal="center"/>
    </xf>
    <xf numFmtId="164" fontId="47" fillId="5" borderId="0" xfId="3" applyFont="1" applyFill="1" applyBorder="1"/>
    <xf numFmtId="164" fontId="2" fillId="5" borderId="0" xfId="3" applyFont="1" applyFill="1" applyAlignment="1">
      <alignment horizontal="center"/>
    </xf>
    <xf numFmtId="164" fontId="50" fillId="5" borderId="12" xfId="3" applyFont="1" applyFill="1" applyBorder="1"/>
    <xf numFmtId="164" fontId="47" fillId="5" borderId="0" xfId="3" applyFont="1" applyFill="1" applyBorder="1" applyProtection="1"/>
    <xf numFmtId="164" fontId="52" fillId="0" borderId="0" xfId="3" applyFont="1"/>
    <xf numFmtId="164" fontId="19" fillId="0" borderId="0" xfId="3" applyFont="1" applyFill="1" applyBorder="1" applyProtection="1">
      <protection locked="0"/>
    </xf>
    <xf numFmtId="164" fontId="19" fillId="0" borderId="0" xfId="3" applyFont="1" applyAlignment="1" applyProtection="1">
      <alignment horizontal="center"/>
      <protection locked="0"/>
    </xf>
    <xf numFmtId="164" fontId="2" fillId="5" borderId="12" xfId="3" applyFont="1" applyFill="1" applyBorder="1" applyProtection="1">
      <protection locked="0"/>
    </xf>
    <xf numFmtId="164" fontId="47" fillId="5" borderId="0" xfId="3" applyFont="1" applyFill="1" applyProtection="1">
      <protection locked="0"/>
    </xf>
    <xf numFmtId="10" fontId="50" fillId="0" borderId="0" xfId="4" applyNumberFormat="1" applyFont="1" applyBorder="1"/>
    <xf numFmtId="164" fontId="30" fillId="0" borderId="0" xfId="3" applyFont="1" applyFill="1" applyBorder="1" applyAlignment="1" applyProtection="1">
      <alignment horizontal="center"/>
    </xf>
    <xf numFmtId="164" fontId="2" fillId="0" borderId="0" xfId="3" applyFont="1" applyFill="1" applyBorder="1"/>
    <xf numFmtId="164" fontId="12" fillId="0" borderId="0" xfId="3" applyFont="1" applyFill="1" applyBorder="1"/>
    <xf numFmtId="164" fontId="30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164" fontId="12" fillId="0" borderId="0" xfId="0" applyNumberFormat="1" applyFont="1" applyFill="1" applyBorder="1"/>
    <xf numFmtId="164" fontId="9" fillId="0" borderId="0" xfId="0" applyNumberFormat="1" applyFont="1" applyFill="1" applyBorder="1" applyProtection="1">
      <protection locked="0"/>
    </xf>
    <xf numFmtId="10" fontId="12" fillId="0" borderId="0" xfId="4" applyNumberFormat="1" applyFont="1" applyFill="1" applyBorder="1"/>
    <xf numFmtId="164" fontId="9" fillId="0" borderId="0" xfId="3" applyFont="1" applyFill="1" applyBorder="1"/>
    <xf numFmtId="164" fontId="26" fillId="0" borderId="0" xfId="3" applyFont="1" applyFill="1" applyBorder="1"/>
    <xf numFmtId="164" fontId="2" fillId="0" borderId="0" xfId="3" applyFont="1" applyFill="1" applyBorder="1" applyAlignment="1">
      <alignment horizontal="right"/>
    </xf>
    <xf numFmtId="0" fontId="0" fillId="0" borderId="0" xfId="0" applyFill="1" applyBorder="1" applyProtection="1">
      <protection locked="0"/>
    </xf>
    <xf numFmtId="0" fontId="29" fillId="0" borderId="0" xfId="0" applyFont="1" applyFill="1" applyBorder="1" applyAlignment="1">
      <alignment horizontal="center"/>
    </xf>
    <xf numFmtId="167" fontId="12" fillId="0" borderId="0" xfId="3" applyNumberFormat="1" applyFont="1" applyFill="1" applyBorder="1"/>
    <xf numFmtId="167" fontId="30" fillId="0" borderId="0" xfId="3" applyNumberFormat="1" applyFont="1" applyFill="1" applyBorder="1"/>
    <xf numFmtId="0" fontId="20" fillId="0" borderId="0" xfId="0" applyFont="1" applyFill="1" applyBorder="1"/>
    <xf numFmtId="164" fontId="30" fillId="0" borderId="0" xfId="3" applyFont="1" applyFill="1" applyBorder="1" applyAlignment="1" applyProtection="1"/>
    <xf numFmtId="167" fontId="53" fillId="0" borderId="1" xfId="3" applyNumberFormat="1" applyFont="1" applyBorder="1"/>
    <xf numFmtId="167" fontId="54" fillId="0" borderId="12" xfId="3" applyNumberFormat="1" applyFont="1" applyBorder="1" applyProtection="1">
      <protection locked="0"/>
    </xf>
    <xf numFmtId="164" fontId="2" fillId="0" borderId="0" xfId="0" applyNumberFormat="1" applyFont="1"/>
    <xf numFmtId="164" fontId="2" fillId="0" borderId="25" xfId="3" applyFont="1" applyBorder="1" applyProtection="1">
      <protection locked="0"/>
    </xf>
    <xf numFmtId="164" fontId="54" fillId="0" borderId="12" xfId="3" applyNumberFormat="1" applyFont="1" applyBorder="1" applyProtection="1">
      <protection locked="0"/>
    </xf>
    <xf numFmtId="164" fontId="55" fillId="0" borderId="0" xfId="3" applyFont="1" applyFill="1" applyBorder="1" applyAlignment="1" applyProtection="1">
      <alignment horizontal="right"/>
      <protection locked="0"/>
    </xf>
    <xf numFmtId="164" fontId="56" fillId="0" borderId="12" xfId="3" applyFont="1" applyBorder="1" applyProtection="1"/>
    <xf numFmtId="0" fontId="57" fillId="0" borderId="0" xfId="0" applyFont="1" applyFill="1" applyBorder="1"/>
    <xf numFmtId="164" fontId="56" fillId="0" borderId="12" xfId="3" applyFont="1" applyBorder="1"/>
    <xf numFmtId="164" fontId="58" fillId="0" borderId="0" xfId="3" applyFont="1"/>
    <xf numFmtId="164" fontId="56" fillId="5" borderId="12" xfId="3" applyFont="1" applyFill="1" applyBorder="1" applyProtection="1">
      <protection locked="0"/>
    </xf>
    <xf numFmtId="164" fontId="56" fillId="5" borderId="12" xfId="3" applyFont="1" applyFill="1" applyBorder="1"/>
    <xf numFmtId="167" fontId="56" fillId="0" borderId="12" xfId="3" applyNumberFormat="1" applyFont="1" applyBorder="1"/>
    <xf numFmtId="167" fontId="56" fillId="5" borderId="12" xfId="3" applyNumberFormat="1" applyFont="1" applyFill="1" applyBorder="1"/>
    <xf numFmtId="164" fontId="51" fillId="18" borderId="12" xfId="3" applyFont="1" applyFill="1" applyBorder="1" applyAlignment="1">
      <alignment horizontal="center"/>
    </xf>
    <xf numFmtId="0" fontId="52" fillId="0" borderId="0" xfId="0" applyFont="1"/>
    <xf numFmtId="164" fontId="52" fillId="0" borderId="0" xfId="0" applyNumberFormat="1" applyFont="1"/>
    <xf numFmtId="164" fontId="52" fillId="0" borderId="0" xfId="0" applyNumberFormat="1" applyFont="1" applyFill="1" applyBorder="1"/>
    <xf numFmtId="0" fontId="52" fillId="0" borderId="0" xfId="0" applyFont="1" applyFill="1" applyBorder="1"/>
    <xf numFmtId="0" fontId="51" fillId="0" borderId="25" xfId="0" applyFont="1" applyBorder="1" applyAlignment="1" applyProtection="1">
      <alignment horizontal="center"/>
    </xf>
    <xf numFmtId="0" fontId="51" fillId="0" borderId="26" xfId="0" applyFont="1" applyBorder="1" applyAlignment="1" applyProtection="1">
      <alignment horizontal="center"/>
    </xf>
    <xf numFmtId="164" fontId="17" fillId="0" borderId="0" xfId="3" applyFont="1" applyAlignment="1">
      <alignment horizontal="center"/>
    </xf>
    <xf numFmtId="164" fontId="17" fillId="0" borderId="0" xfId="3" applyFont="1" applyBorder="1" applyAlignment="1">
      <alignment horizontal="center"/>
    </xf>
    <xf numFmtId="0" fontId="59" fillId="0" borderId="0" xfId="0" applyFont="1" applyAlignment="1">
      <alignment horizontal="center" readingOrder="1"/>
    </xf>
    <xf numFmtId="164" fontId="50" fillId="23" borderId="12" xfId="3" applyFont="1" applyFill="1" applyBorder="1"/>
    <xf numFmtId="164" fontId="50" fillId="14" borderId="12" xfId="3" applyFont="1" applyFill="1" applyBorder="1"/>
    <xf numFmtId="164" fontId="50" fillId="4" borderId="12" xfId="3" applyFont="1" applyFill="1" applyBorder="1"/>
    <xf numFmtId="167" fontId="0" fillId="0" borderId="22" xfId="3" applyNumberFormat="1" applyFont="1" applyBorder="1" applyProtection="1">
      <protection locked="0"/>
    </xf>
    <xf numFmtId="167" fontId="0" fillId="0" borderId="23" xfId="3" applyNumberFormat="1" applyFont="1" applyBorder="1" applyProtection="1">
      <protection locked="0"/>
    </xf>
    <xf numFmtId="167" fontId="2" fillId="0" borderId="23" xfId="3" applyNumberFormat="1" applyFont="1" applyBorder="1" applyProtection="1">
      <protection locked="0"/>
    </xf>
    <xf numFmtId="167" fontId="0" fillId="0" borderId="18" xfId="3" applyNumberFormat="1" applyFont="1" applyBorder="1" applyProtection="1">
      <protection locked="0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18" xfId="0" applyBorder="1" applyProtection="1">
      <protection locked="0"/>
    </xf>
    <xf numFmtId="164" fontId="48" fillId="0" borderId="12" xfId="3" applyFont="1" applyBorder="1" applyProtection="1"/>
    <xf numFmtId="171" fontId="48" fillId="0" borderId="12" xfId="4" applyNumberFormat="1" applyFont="1" applyBorder="1" applyProtection="1"/>
    <xf numFmtId="164" fontId="49" fillId="0" borderId="0" xfId="3" applyFont="1" applyProtection="1"/>
    <xf numFmtId="164" fontId="48" fillId="0" borderId="0" xfId="3" applyFont="1" applyProtection="1"/>
    <xf numFmtId="167" fontId="48" fillId="0" borderId="12" xfId="3" applyNumberFormat="1" applyFont="1" applyBorder="1" applyProtection="1"/>
    <xf numFmtId="164" fontId="48" fillId="0" borderId="0" xfId="3" applyFont="1" applyBorder="1" applyProtection="1"/>
    <xf numFmtId="164" fontId="49" fillId="0" borderId="0" xfId="3" applyFont="1"/>
    <xf numFmtId="0" fontId="60" fillId="0" borderId="29" xfId="0" applyFont="1" applyBorder="1" applyAlignment="1">
      <alignment horizontal="right" vertical="top" wrapText="1"/>
    </xf>
    <xf numFmtId="0" fontId="60" fillId="0" borderId="0" xfId="0" applyFont="1" applyAlignment="1">
      <alignment horizontal="right" vertical="top" wrapText="1"/>
    </xf>
    <xf numFmtId="4" fontId="60" fillId="0" borderId="0" xfId="0" applyNumberFormat="1" applyFont="1" applyAlignment="1">
      <alignment horizontal="right" vertical="top" wrapText="1"/>
    </xf>
    <xf numFmtId="4" fontId="60" fillId="0" borderId="30" xfId="0" applyNumberFormat="1" applyFont="1" applyBorder="1" applyAlignment="1">
      <alignment horizontal="right" vertical="top" wrapText="1"/>
    </xf>
    <xf numFmtId="0" fontId="60" fillId="0" borderId="30" xfId="0" applyFont="1" applyBorder="1" applyAlignment="1">
      <alignment horizontal="right" vertical="top" wrapText="1"/>
    </xf>
    <xf numFmtId="164" fontId="60" fillId="0" borderId="29" xfId="3" applyFont="1" applyBorder="1" applyAlignment="1">
      <alignment horizontal="right" vertical="top" wrapText="1"/>
    </xf>
    <xf numFmtId="0" fontId="61" fillId="0" borderId="0" xfId="0" applyFont="1" applyBorder="1" applyAlignment="1">
      <alignment horizontal="right" vertical="top" wrapText="1"/>
    </xf>
    <xf numFmtId="164" fontId="61" fillId="0" borderId="0" xfId="3" applyFont="1" applyBorder="1" applyAlignment="1">
      <alignment horizontal="right" vertical="top" wrapText="1"/>
    </xf>
    <xf numFmtId="4" fontId="61" fillId="0" borderId="0" xfId="0" applyNumberFormat="1" applyFont="1" applyBorder="1" applyAlignment="1">
      <alignment horizontal="right" vertical="top" wrapText="1"/>
    </xf>
    <xf numFmtId="10" fontId="0" fillId="0" borderId="0" xfId="4" applyNumberFormat="1" applyFont="1" applyBorder="1"/>
    <xf numFmtId="10" fontId="61" fillId="0" borderId="0" xfId="3" applyNumberFormat="1" applyFont="1" applyBorder="1" applyAlignment="1">
      <alignment horizontal="right" vertical="top" wrapText="1"/>
    </xf>
    <xf numFmtId="0" fontId="19" fillId="0" borderId="0" xfId="0" applyFont="1" applyBorder="1" applyAlignment="1">
      <alignment horizontal="right" vertical="top" wrapText="1"/>
    </xf>
    <xf numFmtId="4" fontId="19" fillId="0" borderId="0" xfId="0" applyNumberFormat="1" applyFont="1" applyBorder="1" applyAlignment="1">
      <alignment horizontal="right" vertical="top" wrapText="1"/>
    </xf>
    <xf numFmtId="164" fontId="19" fillId="0" borderId="0" xfId="3" applyFont="1" applyBorder="1" applyAlignment="1">
      <alignment horizontal="right" vertical="top" wrapText="1"/>
    </xf>
    <xf numFmtId="4" fontId="60" fillId="0" borderId="29" xfId="0" applyNumberFormat="1" applyFont="1" applyBorder="1" applyAlignment="1">
      <alignment horizontal="right" vertical="top" wrapText="1"/>
    </xf>
    <xf numFmtId="10" fontId="60" fillId="0" borderId="0" xfId="3" applyNumberFormat="1" applyFont="1" applyBorder="1" applyAlignment="1">
      <alignment horizontal="right" vertical="top" wrapText="1"/>
    </xf>
    <xf numFmtId="10" fontId="60" fillId="0" borderId="30" xfId="3" applyNumberFormat="1" applyFont="1" applyBorder="1" applyAlignment="1">
      <alignment horizontal="right" vertical="top" wrapText="1"/>
    </xf>
    <xf numFmtId="164" fontId="2" fillId="25" borderId="12" xfId="3" applyFont="1" applyFill="1" applyBorder="1" applyProtection="1"/>
    <xf numFmtId="164" fontId="50" fillId="25" borderId="12" xfId="3" applyFont="1" applyFill="1" applyBorder="1"/>
    <xf numFmtId="10" fontId="0" fillId="0" borderId="0" xfId="4" applyNumberFormat="1" applyFont="1" applyBorder="1" applyProtection="1"/>
    <xf numFmtId="0" fontId="1" fillId="0" borderId="0" xfId="0" applyFont="1"/>
    <xf numFmtId="0" fontId="1" fillId="0" borderId="25" xfId="0" applyFont="1" applyBorder="1"/>
    <xf numFmtId="0" fontId="1" fillId="0" borderId="26" xfId="0" applyFont="1" applyBorder="1"/>
    <xf numFmtId="0" fontId="1" fillId="0" borderId="0" xfId="0" applyFont="1" applyBorder="1"/>
    <xf numFmtId="0" fontId="1" fillId="0" borderId="31" xfId="0" applyFont="1" applyBorder="1"/>
    <xf numFmtId="0" fontId="1" fillId="0" borderId="32" xfId="0" applyFont="1" applyBorder="1"/>
    <xf numFmtId="0" fontId="63" fillId="0" borderId="0" xfId="2" applyFont="1" applyBorder="1" applyAlignment="1" applyProtection="1"/>
    <xf numFmtId="0" fontId="1" fillId="0" borderId="27" xfId="0" applyFont="1" applyBorder="1"/>
    <xf numFmtId="0" fontId="1" fillId="0" borderId="1" xfId="0" applyFont="1" applyBorder="1"/>
    <xf numFmtId="0" fontId="1" fillId="0" borderId="28" xfId="0" applyFont="1" applyBorder="1"/>
    <xf numFmtId="0" fontId="63" fillId="0" borderId="0" xfId="2" quotePrefix="1" applyFont="1" applyBorder="1" applyAlignment="1" applyProtection="1"/>
    <xf numFmtId="0" fontId="64" fillId="0" borderId="0" xfId="2" applyFont="1" applyAlignment="1" applyProtection="1"/>
    <xf numFmtId="0" fontId="1" fillId="0" borderId="0" xfId="0" applyFont="1" applyFill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2" fillId="9" borderId="22" xfId="0" applyFont="1" applyFill="1" applyBorder="1" applyAlignment="1">
      <alignment horizontal="center"/>
    </xf>
    <xf numFmtId="0" fontId="2" fillId="9" borderId="23" xfId="0" applyFont="1" applyFill="1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164" fontId="18" fillId="3" borderId="10" xfId="3" applyFont="1" applyFill="1" applyBorder="1" applyAlignment="1">
      <alignment horizontal="center"/>
    </xf>
    <xf numFmtId="164" fontId="18" fillId="3" borderId="11" xfId="3" applyFont="1" applyFill="1" applyBorder="1" applyAlignment="1">
      <alignment horizontal="center"/>
    </xf>
    <xf numFmtId="164" fontId="18" fillId="3" borderId="36" xfId="3" applyFont="1" applyFill="1" applyBorder="1" applyAlignment="1">
      <alignment horizontal="center"/>
    </xf>
    <xf numFmtId="164" fontId="30" fillId="0" borderId="0" xfId="3" applyFont="1" applyFill="1" applyBorder="1" applyAlignment="1" applyProtection="1">
      <alignment horizontal="center"/>
    </xf>
    <xf numFmtId="164" fontId="30" fillId="13" borderId="0" xfId="3" applyFont="1" applyFill="1" applyBorder="1" applyAlignment="1" applyProtection="1">
      <alignment horizontal="center"/>
    </xf>
    <xf numFmtId="0" fontId="2" fillId="4" borderId="24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1" fillId="18" borderId="22" xfId="0" applyFont="1" applyFill="1" applyBorder="1" applyAlignment="1">
      <alignment horizontal="center"/>
    </xf>
    <xf numFmtId="0" fontId="21" fillId="18" borderId="23" xfId="0" applyFont="1" applyFill="1" applyBorder="1" applyAlignment="1">
      <alignment horizontal="center"/>
    </xf>
    <xf numFmtId="0" fontId="21" fillId="18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3" borderId="22" xfId="0" applyFill="1" applyBorder="1" applyAlignment="1">
      <alignment horizontal="center"/>
    </xf>
    <xf numFmtId="0" fontId="0" fillId="23" borderId="18" xfId="0" applyFill="1" applyBorder="1" applyAlignment="1">
      <alignment horizontal="center"/>
    </xf>
    <xf numFmtId="0" fontId="19" fillId="23" borderId="22" xfId="0" applyFont="1" applyFill="1" applyBorder="1" applyAlignment="1">
      <alignment horizontal="center"/>
    </xf>
    <xf numFmtId="0" fontId="43" fillId="2" borderId="22" xfId="0" applyFont="1" applyFill="1" applyBorder="1" applyAlignment="1">
      <alignment horizontal="center"/>
    </xf>
    <xf numFmtId="0" fontId="43" fillId="2" borderId="18" xfId="0" applyFont="1" applyFill="1" applyBorder="1" applyAlignment="1">
      <alignment horizontal="center"/>
    </xf>
    <xf numFmtId="0" fontId="2" fillId="12" borderId="22" xfId="0" applyFont="1" applyFill="1" applyBorder="1" applyAlignment="1">
      <alignment horizontal="center"/>
    </xf>
    <xf numFmtId="0" fontId="2" fillId="12" borderId="18" xfId="0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11" fillId="6" borderId="22" xfId="0" applyFont="1" applyFill="1" applyBorder="1" applyAlignment="1">
      <alignment horizontal="center"/>
    </xf>
    <xf numFmtId="0" fontId="20" fillId="6" borderId="18" xfId="0" applyFont="1" applyFill="1" applyBorder="1" applyAlignment="1">
      <alignment horizontal="center"/>
    </xf>
    <xf numFmtId="0" fontId="25" fillId="4" borderId="22" xfId="0" applyFont="1" applyFill="1" applyBorder="1" applyAlignment="1">
      <alignment horizontal="center"/>
    </xf>
    <xf numFmtId="0" fontId="25" fillId="4" borderId="18" xfId="0" applyFont="1" applyFill="1" applyBorder="1" applyAlignment="1">
      <alignment horizontal="center"/>
    </xf>
    <xf numFmtId="0" fontId="33" fillId="24" borderId="22" xfId="0" applyFont="1" applyFill="1" applyBorder="1" applyAlignment="1">
      <alignment horizontal="center"/>
    </xf>
    <xf numFmtId="0" fontId="33" fillId="24" borderId="23" xfId="0" applyFont="1" applyFill="1" applyBorder="1" applyAlignment="1">
      <alignment horizontal="center"/>
    </xf>
    <xf numFmtId="0" fontId="33" fillId="24" borderId="18" xfId="0" applyFont="1" applyFill="1" applyBorder="1" applyAlignment="1">
      <alignment horizontal="center"/>
    </xf>
    <xf numFmtId="0" fontId="23" fillId="24" borderId="22" xfId="0" applyFont="1" applyFill="1" applyBorder="1" applyAlignment="1">
      <alignment horizontal="center"/>
    </xf>
    <xf numFmtId="0" fontId="23" fillId="24" borderId="23" xfId="0" applyFont="1" applyFill="1" applyBorder="1" applyAlignment="1">
      <alignment horizontal="center"/>
    </xf>
    <xf numFmtId="0" fontId="23" fillId="24" borderId="18" xfId="0" applyFont="1" applyFill="1" applyBorder="1" applyAlignment="1">
      <alignment horizontal="center"/>
    </xf>
    <xf numFmtId="0" fontId="30" fillId="18" borderId="22" xfId="0" applyFont="1" applyFill="1" applyBorder="1" applyAlignment="1">
      <alignment horizontal="center"/>
    </xf>
    <xf numFmtId="0" fontId="30" fillId="18" borderId="23" xfId="0" applyFont="1" applyFill="1" applyBorder="1" applyAlignment="1">
      <alignment horizontal="center"/>
    </xf>
    <xf numFmtId="0" fontId="30" fillId="18" borderId="18" xfId="0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0" fillId="18" borderId="0" xfId="0" applyFont="1" applyFill="1" applyBorder="1" applyAlignment="1" applyProtection="1">
      <alignment horizontal="center"/>
      <protection locked="0"/>
    </xf>
    <xf numFmtId="0" fontId="25" fillId="4" borderId="23" xfId="0" applyFont="1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167" fontId="35" fillId="20" borderId="22" xfId="3" applyNumberFormat="1" applyFont="1" applyFill="1" applyBorder="1" applyAlignment="1">
      <alignment horizontal="center"/>
    </xf>
    <xf numFmtId="167" fontId="35" fillId="20" borderId="18" xfId="3" applyNumberFormat="1" applyFont="1" applyFill="1" applyBorder="1" applyAlignment="1">
      <alignment horizontal="center"/>
    </xf>
    <xf numFmtId="164" fontId="0" fillId="4" borderId="27" xfId="3" applyFont="1" applyFill="1" applyBorder="1" applyAlignment="1">
      <alignment horizontal="center"/>
    </xf>
    <xf numFmtId="164" fontId="0" fillId="4" borderId="1" xfId="3" applyFont="1" applyFill="1" applyBorder="1" applyAlignment="1">
      <alignment horizontal="center"/>
    </xf>
    <xf numFmtId="164" fontId="0" fillId="4" borderId="28" xfId="3" applyFont="1" applyFill="1" applyBorder="1" applyAlignment="1">
      <alignment horizontal="center"/>
    </xf>
    <xf numFmtId="164" fontId="0" fillId="3" borderId="27" xfId="3" applyFont="1" applyFill="1" applyBorder="1" applyAlignment="1">
      <alignment horizontal="center"/>
    </xf>
    <xf numFmtId="164" fontId="0" fillId="3" borderId="1" xfId="3" applyFont="1" applyFill="1" applyBorder="1" applyAlignment="1">
      <alignment horizontal="center"/>
    </xf>
    <xf numFmtId="164" fontId="2" fillId="6" borderId="22" xfId="3" applyFont="1" applyFill="1" applyBorder="1" applyAlignment="1">
      <alignment horizontal="center"/>
    </xf>
    <xf numFmtId="164" fontId="2" fillId="6" borderId="23" xfId="3" applyFont="1" applyFill="1" applyBorder="1" applyAlignment="1">
      <alignment horizontal="center"/>
    </xf>
    <xf numFmtId="164" fontId="2" fillId="6" borderId="18" xfId="3" applyFont="1" applyFill="1" applyBorder="1" applyAlignment="1">
      <alignment horizontal="center"/>
    </xf>
    <xf numFmtId="0" fontId="16" fillId="0" borderId="29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6" fillId="0" borderId="30" xfId="0" applyFont="1" applyBorder="1" applyAlignment="1">
      <alignment horizontal="center" vertical="top" wrapText="1"/>
    </xf>
  </cellXfs>
  <cellStyles count="5"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5"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11</xdr:row>
      <xdr:rowOff>114300</xdr:rowOff>
    </xdr:from>
    <xdr:to>
      <xdr:col>9</xdr:col>
      <xdr:colOff>666750</xdr:colOff>
      <xdr:row>13</xdr:row>
      <xdr:rowOff>104775</xdr:rowOff>
    </xdr:to>
    <xdr:sp macro="[0]!VerSubsidio" textlink="">
      <xdr:nvSpPr>
        <xdr:cNvPr id="11327" name="1 Proceso alternativo"/>
        <xdr:cNvSpPr>
          <a:spLocks noChangeArrowheads="1"/>
        </xdr:cNvSpPr>
      </xdr:nvSpPr>
      <xdr:spPr bwMode="auto">
        <a:xfrm>
          <a:off x="5591175" y="1933575"/>
          <a:ext cx="1581150" cy="314325"/>
        </a:xfrm>
        <a:prstGeom prst="flowChartAlternateProcess">
          <a:avLst/>
        </a:prstGeom>
        <a:solidFill>
          <a:srgbClr val="4F81BD"/>
        </a:solidFill>
        <a:ln w="25400" algn="ctr">
          <a:solidFill>
            <a:srgbClr val="385D8A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MX" sz="1100" b="0" i="0" strike="noStrike">
              <a:solidFill>
                <a:srgbClr val="FFFFFF"/>
              </a:solidFill>
              <a:latin typeface="Calibri"/>
            </a:rPr>
            <a:t>Memoria de Calculo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7</xdr:col>
      <xdr:colOff>828675</xdr:colOff>
      <xdr:row>2</xdr:row>
      <xdr:rowOff>0</xdr:rowOff>
    </xdr:to>
    <xdr:sp macro="[0]!Imp_Ietu" textlink="">
      <xdr:nvSpPr>
        <xdr:cNvPr id="2" name="Rectangle 1"/>
        <xdr:cNvSpPr>
          <a:spLocks noChangeArrowheads="1"/>
        </xdr:cNvSpPr>
      </xdr:nvSpPr>
      <xdr:spPr bwMode="auto">
        <a:xfrm>
          <a:off x="6962775" y="161925"/>
          <a:ext cx="828675" cy="161925"/>
        </a:xfrm>
        <a:prstGeom prst="rect">
          <a:avLst/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FFFFFF"/>
              </a:solidFill>
              <a:latin typeface="Arial"/>
              <a:cs typeface="Arial"/>
            </a:rPr>
            <a:t>Imprimir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1</xdr:row>
      <xdr:rowOff>0</xdr:rowOff>
    </xdr:from>
    <xdr:to>
      <xdr:col>9</xdr:col>
      <xdr:colOff>866775</xdr:colOff>
      <xdr:row>2</xdr:row>
      <xdr:rowOff>0</xdr:rowOff>
    </xdr:to>
    <xdr:sp macro="[0]!Imprimir1" textlink="">
      <xdr:nvSpPr>
        <xdr:cNvPr id="1026" name="Rectangle 2"/>
        <xdr:cNvSpPr>
          <a:spLocks noChangeArrowheads="1"/>
        </xdr:cNvSpPr>
      </xdr:nvSpPr>
      <xdr:spPr bwMode="auto">
        <a:xfrm>
          <a:off x="6934200" y="161925"/>
          <a:ext cx="762000" cy="161925"/>
        </a:xfrm>
        <a:prstGeom prst="rect">
          <a:avLst/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FFFFFF"/>
              </a:solidFill>
              <a:latin typeface="Arial"/>
              <a:cs typeface="Arial"/>
            </a:rPr>
            <a:t>Imprimir</a:t>
          </a:r>
        </a:p>
      </xdr:txBody>
    </xdr:sp>
    <xdr:clientData/>
  </xdr:twoCellAnchor>
  <xdr:twoCellAnchor>
    <xdr:from>
      <xdr:col>9</xdr:col>
      <xdr:colOff>85725</xdr:colOff>
      <xdr:row>3</xdr:row>
      <xdr:rowOff>9525</xdr:rowOff>
    </xdr:from>
    <xdr:to>
      <xdr:col>10</xdr:col>
      <xdr:colOff>0</xdr:colOff>
      <xdr:row>4</xdr:row>
      <xdr:rowOff>19050</xdr:rowOff>
    </xdr:to>
    <xdr:sp macro="[0]!BorrarArr" textlink="">
      <xdr:nvSpPr>
        <xdr:cNvPr id="1027" name="Rectangle 3"/>
        <xdr:cNvSpPr>
          <a:spLocks noChangeArrowheads="1"/>
        </xdr:cNvSpPr>
      </xdr:nvSpPr>
      <xdr:spPr bwMode="auto">
        <a:xfrm>
          <a:off x="6915150" y="495300"/>
          <a:ext cx="800100" cy="1714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Borrar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819150</xdr:colOff>
      <xdr:row>0</xdr:row>
      <xdr:rowOff>114300</xdr:rowOff>
    </xdr:from>
    <xdr:to>
      <xdr:col>7</xdr:col>
      <xdr:colOff>723900</xdr:colOff>
      <xdr:row>1</xdr:row>
      <xdr:rowOff>152400</xdr:rowOff>
    </xdr:to>
    <xdr:sp macro="[0]!Imp_Arr_ANnual" textlink="">
      <xdr:nvSpPr>
        <xdr:cNvPr id="6145" name="Rectangle 1"/>
        <xdr:cNvSpPr>
          <a:spLocks noChangeArrowheads="1"/>
        </xdr:cNvSpPr>
      </xdr:nvSpPr>
      <xdr:spPr bwMode="auto">
        <a:xfrm>
          <a:off x="6638925" y="114300"/>
          <a:ext cx="762000" cy="200025"/>
        </a:xfrm>
        <a:prstGeom prst="rect">
          <a:avLst/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FFFFFF"/>
              </a:solidFill>
              <a:latin typeface="Arial"/>
              <a:cs typeface="Arial"/>
            </a:rPr>
            <a:t>Imprimir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104775</xdr:colOff>
      <xdr:row>1</xdr:row>
      <xdr:rowOff>0</xdr:rowOff>
    </xdr:from>
    <xdr:to>
      <xdr:col>10</xdr:col>
      <xdr:colOff>866775</xdr:colOff>
      <xdr:row>2</xdr:row>
      <xdr:rowOff>0</xdr:rowOff>
    </xdr:to>
    <xdr:sp macro="[0]!Imprimir1" textlink="">
      <xdr:nvSpPr>
        <xdr:cNvPr id="2049" name="Rectangle 1"/>
        <xdr:cNvSpPr>
          <a:spLocks noChangeArrowheads="1"/>
        </xdr:cNvSpPr>
      </xdr:nvSpPr>
      <xdr:spPr bwMode="auto">
        <a:xfrm>
          <a:off x="7019925" y="161925"/>
          <a:ext cx="762000" cy="161925"/>
        </a:xfrm>
        <a:prstGeom prst="rect">
          <a:avLst/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FFFFFF"/>
              </a:solidFill>
              <a:latin typeface="Arial"/>
              <a:cs typeface="Arial"/>
            </a:rPr>
            <a:t>Imprimir</a:t>
          </a:r>
        </a:p>
      </xdr:txBody>
    </xdr:sp>
    <xdr:clientData/>
  </xdr:twoCellAnchor>
  <xdr:twoCellAnchor>
    <xdr:from>
      <xdr:col>10</xdr:col>
      <xdr:colOff>133350</xdr:colOff>
      <xdr:row>2</xdr:row>
      <xdr:rowOff>152400</xdr:rowOff>
    </xdr:from>
    <xdr:to>
      <xdr:col>11</xdr:col>
      <xdr:colOff>0</xdr:colOff>
      <xdr:row>3</xdr:row>
      <xdr:rowOff>152400</xdr:rowOff>
    </xdr:to>
    <xdr:sp macro="[0]!BorrarHono" textlink="">
      <xdr:nvSpPr>
        <xdr:cNvPr id="2051" name="Rectangle 3"/>
        <xdr:cNvSpPr>
          <a:spLocks noChangeArrowheads="1"/>
        </xdr:cNvSpPr>
      </xdr:nvSpPr>
      <xdr:spPr bwMode="auto">
        <a:xfrm>
          <a:off x="7048500" y="476250"/>
          <a:ext cx="752475" cy="161925"/>
        </a:xfrm>
        <a:prstGeom prst="rect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FFFFFF"/>
              </a:solidFill>
              <a:latin typeface="Arial"/>
              <a:cs typeface="Arial"/>
            </a:rPr>
            <a:t>Borrar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819150</xdr:colOff>
      <xdr:row>0</xdr:row>
      <xdr:rowOff>114300</xdr:rowOff>
    </xdr:from>
    <xdr:to>
      <xdr:col>7</xdr:col>
      <xdr:colOff>723900</xdr:colOff>
      <xdr:row>1</xdr:row>
      <xdr:rowOff>114300</xdr:rowOff>
    </xdr:to>
    <xdr:sp macro="[0]!Imp_Hono_Anual" textlink="">
      <xdr:nvSpPr>
        <xdr:cNvPr id="7169" name="Rectangle 1"/>
        <xdr:cNvSpPr>
          <a:spLocks noChangeArrowheads="1"/>
        </xdr:cNvSpPr>
      </xdr:nvSpPr>
      <xdr:spPr bwMode="auto">
        <a:xfrm>
          <a:off x="7162800" y="114300"/>
          <a:ext cx="828675" cy="161925"/>
        </a:xfrm>
        <a:prstGeom prst="rect">
          <a:avLst/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FFFFFF"/>
              </a:solidFill>
              <a:latin typeface="Arial"/>
              <a:cs typeface="Arial"/>
            </a:rPr>
            <a:t>Imprimir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219075</xdr:colOff>
      <xdr:row>1</xdr:row>
      <xdr:rowOff>0</xdr:rowOff>
    </xdr:from>
    <xdr:to>
      <xdr:col>11</xdr:col>
      <xdr:colOff>219075</xdr:colOff>
      <xdr:row>2</xdr:row>
      <xdr:rowOff>28575</xdr:rowOff>
    </xdr:to>
    <xdr:sp macro="[0]!Imprimeenajenacion" textlink="">
      <xdr:nvSpPr>
        <xdr:cNvPr id="8193" name="Rectangle 1"/>
        <xdr:cNvSpPr>
          <a:spLocks noChangeArrowheads="1"/>
        </xdr:cNvSpPr>
      </xdr:nvSpPr>
      <xdr:spPr bwMode="auto">
        <a:xfrm>
          <a:off x="6486525" y="228600"/>
          <a:ext cx="1171575" cy="190500"/>
        </a:xfrm>
        <a:prstGeom prst="rect">
          <a:avLst/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FFFFFF"/>
              </a:solidFill>
              <a:latin typeface="Arial"/>
              <a:cs typeface="Arial"/>
            </a:rPr>
            <a:t>Imprimir</a:t>
          </a:r>
        </a:p>
      </xdr:txBody>
    </xdr:sp>
    <xdr:clientData/>
  </xdr:twoCellAnchor>
  <xdr:twoCellAnchor>
    <xdr:from>
      <xdr:col>10</xdr:col>
      <xdr:colOff>219075</xdr:colOff>
      <xdr:row>3</xdr:row>
      <xdr:rowOff>57150</xdr:rowOff>
    </xdr:from>
    <xdr:to>
      <xdr:col>11</xdr:col>
      <xdr:colOff>219075</xdr:colOff>
      <xdr:row>4</xdr:row>
      <xdr:rowOff>57150</xdr:rowOff>
    </xdr:to>
    <xdr:sp macro="[0]!BorrarEnaj_1" textlink="">
      <xdr:nvSpPr>
        <xdr:cNvPr id="8194" name="Rectangle 2"/>
        <xdr:cNvSpPr>
          <a:spLocks noChangeArrowheads="1"/>
        </xdr:cNvSpPr>
      </xdr:nvSpPr>
      <xdr:spPr bwMode="auto">
        <a:xfrm>
          <a:off x="6486525" y="609600"/>
          <a:ext cx="1171575" cy="161925"/>
        </a:xfrm>
        <a:prstGeom prst="rect">
          <a:avLst/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CCFFCC"/>
              </a:solidFill>
              <a:latin typeface="Arial"/>
              <a:cs typeface="Arial"/>
            </a:rPr>
            <a:t>Borrar</a:t>
          </a:r>
        </a:p>
      </xdr:txBody>
    </xdr:sp>
    <xdr:clientData/>
  </xdr:twoCellAnchor>
  <xdr:twoCellAnchor>
    <xdr:from>
      <xdr:col>9</xdr:col>
      <xdr:colOff>123825</xdr:colOff>
      <xdr:row>37</xdr:row>
      <xdr:rowOff>28575</xdr:rowOff>
    </xdr:from>
    <xdr:to>
      <xdr:col>10</xdr:col>
      <xdr:colOff>485775</xdr:colOff>
      <xdr:row>38</xdr:row>
      <xdr:rowOff>47625</xdr:rowOff>
    </xdr:to>
    <xdr:sp macro="[0]!Ver_Cop_Enaj1" textlink="">
      <xdr:nvSpPr>
        <xdr:cNvPr id="8210" name="Rectangle 18"/>
        <xdr:cNvSpPr>
          <a:spLocks noChangeArrowheads="1"/>
        </xdr:cNvSpPr>
      </xdr:nvSpPr>
      <xdr:spPr bwMode="auto">
        <a:xfrm>
          <a:off x="5629275" y="6124575"/>
          <a:ext cx="11239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dist="107763" sx="1000" sy="1000" algn="ctr" rotWithShape="0">
            <a:srgbClr val="808080"/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sng" strike="noStrike">
              <a:solidFill>
                <a:srgbClr val="0000FF"/>
              </a:solidFill>
              <a:latin typeface="Arial"/>
              <a:cs typeface="Arial"/>
            </a:rPr>
            <a:t>Ver Copropietarios</a:t>
          </a:r>
        </a:p>
      </xdr:txBody>
    </xdr:sp>
    <xdr:clientData/>
  </xdr:twoCellAnchor>
  <xdr:twoCellAnchor>
    <xdr:from>
      <xdr:col>51</xdr:col>
      <xdr:colOff>742950</xdr:colOff>
      <xdr:row>0</xdr:row>
      <xdr:rowOff>114300</xdr:rowOff>
    </xdr:from>
    <xdr:to>
      <xdr:col>53</xdr:col>
      <xdr:colOff>390525</xdr:colOff>
      <xdr:row>1</xdr:row>
      <xdr:rowOff>104775</xdr:rowOff>
    </xdr:to>
    <xdr:sp macro="[0]!Imp_Cop_1" textlink="">
      <xdr:nvSpPr>
        <xdr:cNvPr id="8211" name="Rectangle 19"/>
        <xdr:cNvSpPr>
          <a:spLocks noChangeArrowheads="1"/>
        </xdr:cNvSpPr>
      </xdr:nvSpPr>
      <xdr:spPr bwMode="auto">
        <a:xfrm>
          <a:off x="37166550" y="114300"/>
          <a:ext cx="1171575" cy="219075"/>
        </a:xfrm>
        <a:prstGeom prst="rect">
          <a:avLst/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FFFFFF"/>
              </a:solidFill>
              <a:latin typeface="Arial"/>
              <a:cs typeface="Arial"/>
            </a:rPr>
            <a:t>Imprimir</a:t>
          </a:r>
        </a:p>
      </xdr:txBody>
    </xdr:sp>
    <xdr:clientData/>
  </xdr:twoCellAnchor>
  <xdr:twoCellAnchor>
    <xdr:from>
      <xdr:col>5</xdr:col>
      <xdr:colOff>76200</xdr:colOff>
      <xdr:row>41</xdr:row>
      <xdr:rowOff>85725</xdr:rowOff>
    </xdr:from>
    <xdr:to>
      <xdr:col>9</xdr:col>
      <xdr:colOff>114300</xdr:colOff>
      <xdr:row>42</xdr:row>
      <xdr:rowOff>142875</xdr:rowOff>
    </xdr:to>
    <xdr:sp macro="[0]!Enajenacion1" textlink="">
      <xdr:nvSpPr>
        <xdr:cNvPr id="6" name="5 Rectángulo redondeado"/>
        <xdr:cNvSpPr/>
      </xdr:nvSpPr>
      <xdr:spPr>
        <a:xfrm>
          <a:off x="3762375" y="6829425"/>
          <a:ext cx="1857375" cy="2190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MX" sz="1100"/>
            <a:t>Ver Memoria de Calculo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37</xdr:row>
          <xdr:rowOff>9525</xdr:rowOff>
        </xdr:from>
        <xdr:to>
          <xdr:col>6</xdr:col>
          <xdr:colOff>800100</xdr:colOff>
          <xdr:row>38</xdr:row>
          <xdr:rowOff>57150</xdr:rowOff>
        </xdr:to>
        <xdr:sp macro="" textlink="">
          <xdr:nvSpPr>
            <xdr:cNvPr id="8212" name="Cálculo" hidden="1">
              <a:extLst>
                <a:ext uri="{63B3BB69-23CF-44E3-9099-C40C66FF867C}">
                  <a14:compatExt spid="_x0000_s8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1</xdr:row>
      <xdr:rowOff>0</xdr:rowOff>
    </xdr:from>
    <xdr:to>
      <xdr:col>12</xdr:col>
      <xdr:colOff>276225</xdr:colOff>
      <xdr:row>2</xdr:row>
      <xdr:rowOff>0</xdr:rowOff>
    </xdr:to>
    <xdr:sp macro="[0]!Imprimeenajenacion" textlink="">
      <xdr:nvSpPr>
        <xdr:cNvPr id="4097" name="Rectangle 1"/>
        <xdr:cNvSpPr>
          <a:spLocks noChangeArrowheads="1"/>
        </xdr:cNvSpPr>
      </xdr:nvSpPr>
      <xdr:spPr bwMode="auto">
        <a:xfrm>
          <a:off x="6819900" y="228600"/>
          <a:ext cx="1114425" cy="161925"/>
        </a:xfrm>
        <a:prstGeom prst="rect">
          <a:avLst/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FFFFFF"/>
              </a:solidFill>
              <a:latin typeface="Arial"/>
              <a:cs typeface="Arial"/>
            </a:rPr>
            <a:t>Imprimir</a:t>
          </a:r>
        </a:p>
      </xdr:txBody>
    </xdr:sp>
    <xdr:clientData/>
  </xdr:twoCellAnchor>
  <xdr:twoCellAnchor>
    <xdr:from>
      <xdr:col>11</xdr:col>
      <xdr:colOff>133350</xdr:colOff>
      <xdr:row>3</xdr:row>
      <xdr:rowOff>9525</xdr:rowOff>
    </xdr:from>
    <xdr:to>
      <xdr:col>12</xdr:col>
      <xdr:colOff>276225</xdr:colOff>
      <xdr:row>4</xdr:row>
      <xdr:rowOff>9525</xdr:rowOff>
    </xdr:to>
    <xdr:sp macro="[0]!Borrar_Enaj_2" textlink="">
      <xdr:nvSpPr>
        <xdr:cNvPr id="4098" name="Rectangle 2"/>
        <xdr:cNvSpPr>
          <a:spLocks noChangeArrowheads="1"/>
        </xdr:cNvSpPr>
      </xdr:nvSpPr>
      <xdr:spPr bwMode="auto">
        <a:xfrm>
          <a:off x="6819900" y="561975"/>
          <a:ext cx="1114425" cy="161925"/>
        </a:xfrm>
        <a:prstGeom prst="rect">
          <a:avLst/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CCFFCC"/>
              </a:solidFill>
              <a:latin typeface="Arial"/>
              <a:cs typeface="Arial"/>
            </a:rPr>
            <a:t>Borrar</a:t>
          </a:r>
        </a:p>
      </xdr:txBody>
    </xdr:sp>
    <xdr:clientData/>
  </xdr:twoCellAnchor>
  <xdr:twoCellAnchor>
    <xdr:from>
      <xdr:col>8</xdr:col>
      <xdr:colOff>571500</xdr:colOff>
      <xdr:row>50</xdr:row>
      <xdr:rowOff>0</xdr:rowOff>
    </xdr:from>
    <xdr:to>
      <xdr:col>11</xdr:col>
      <xdr:colOff>695325</xdr:colOff>
      <xdr:row>51</xdr:row>
      <xdr:rowOff>19050</xdr:rowOff>
    </xdr:to>
    <xdr:sp macro="[0]!Ver_Cop_Enaj_2" textlink="">
      <xdr:nvSpPr>
        <xdr:cNvPr id="4102" name="Rectangle 6"/>
        <xdr:cNvSpPr>
          <a:spLocks noChangeArrowheads="1"/>
        </xdr:cNvSpPr>
      </xdr:nvSpPr>
      <xdr:spPr bwMode="auto">
        <a:xfrm>
          <a:off x="6257925" y="8277225"/>
          <a:ext cx="11239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dist="107763" dir="2700000" sx="1000" sy="1000" algn="ctr" rotWithShape="0">
            <a:srgbClr val="808080"/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sng" strike="noStrike">
              <a:solidFill>
                <a:srgbClr val="0000FF"/>
              </a:solidFill>
              <a:latin typeface="Arial"/>
              <a:cs typeface="Arial"/>
            </a:rPr>
            <a:t>Ver Copropietarios</a:t>
          </a:r>
        </a:p>
      </xdr:txBody>
    </xdr:sp>
    <xdr:clientData/>
  </xdr:twoCellAnchor>
  <xdr:twoCellAnchor>
    <xdr:from>
      <xdr:col>56</xdr:col>
      <xdr:colOff>0</xdr:colOff>
      <xdr:row>1</xdr:row>
      <xdr:rowOff>66675</xdr:rowOff>
    </xdr:from>
    <xdr:to>
      <xdr:col>56</xdr:col>
      <xdr:colOff>771525</xdr:colOff>
      <xdr:row>2</xdr:row>
      <xdr:rowOff>66675</xdr:rowOff>
    </xdr:to>
    <xdr:sp macro="[0]!Imp_Cop_2" textlink="">
      <xdr:nvSpPr>
        <xdr:cNvPr id="4103" name="Rectangle 7"/>
        <xdr:cNvSpPr>
          <a:spLocks noChangeArrowheads="1"/>
        </xdr:cNvSpPr>
      </xdr:nvSpPr>
      <xdr:spPr bwMode="auto">
        <a:xfrm>
          <a:off x="38223825" y="295275"/>
          <a:ext cx="771525" cy="161925"/>
        </a:xfrm>
        <a:prstGeom prst="rect">
          <a:avLst/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FFFFFF"/>
              </a:solidFill>
              <a:latin typeface="Arial"/>
              <a:cs typeface="Arial"/>
            </a:rPr>
            <a:t>Imprimir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50</xdr:row>
          <xdr:rowOff>0</xdr:rowOff>
        </xdr:from>
        <xdr:to>
          <xdr:col>8</xdr:col>
          <xdr:colOff>542925</xdr:colOff>
          <xdr:row>51</xdr:row>
          <xdr:rowOff>47625</xdr:rowOff>
        </xdr:to>
        <xdr:sp macro="" textlink="">
          <xdr:nvSpPr>
            <xdr:cNvPr id="4104" name="CheckBox1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3</xdr:row>
      <xdr:rowOff>38100</xdr:rowOff>
    </xdr:from>
    <xdr:to>
      <xdr:col>4</xdr:col>
      <xdr:colOff>704850</xdr:colOff>
      <xdr:row>4</xdr:row>
      <xdr:rowOff>57150</xdr:rowOff>
    </xdr:to>
    <xdr:sp macro="[0]!Ver_Memoria_Calculo" textlink="">
      <xdr:nvSpPr>
        <xdr:cNvPr id="10242" name="Rectangle 2"/>
        <xdr:cNvSpPr>
          <a:spLocks noChangeArrowheads="1"/>
        </xdr:cNvSpPr>
      </xdr:nvSpPr>
      <xdr:spPr bwMode="auto">
        <a:xfrm>
          <a:off x="3648075" y="590550"/>
          <a:ext cx="14192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dist="107763" sx="1000" sy="1000" algn="ctr" rotWithShape="0">
            <a:srgbClr val="808080"/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sng" strike="noStrike">
              <a:solidFill>
                <a:srgbClr val="0000FF"/>
              </a:solidFill>
              <a:latin typeface="Arial"/>
              <a:cs typeface="Arial"/>
            </a:rPr>
            <a:t>Ver Memoria de Cálculo</a:t>
          </a:r>
        </a:p>
      </xdr:txBody>
    </xdr:sp>
    <xdr:clientData/>
  </xdr:twoCellAnchor>
  <xdr:twoCellAnchor>
    <xdr:from>
      <xdr:col>9</xdr:col>
      <xdr:colOff>47625</xdr:colOff>
      <xdr:row>8</xdr:row>
      <xdr:rowOff>38100</xdr:rowOff>
    </xdr:from>
    <xdr:to>
      <xdr:col>10</xdr:col>
      <xdr:colOff>704850</xdr:colOff>
      <xdr:row>9</xdr:row>
      <xdr:rowOff>57150</xdr:rowOff>
    </xdr:to>
    <xdr:sp macro="[0]!Ver_Memoria_Calculo" textlink="">
      <xdr:nvSpPr>
        <xdr:cNvPr id="10247" name="Rectangle 7"/>
        <xdr:cNvSpPr>
          <a:spLocks noChangeArrowheads="1"/>
        </xdr:cNvSpPr>
      </xdr:nvSpPr>
      <xdr:spPr bwMode="auto">
        <a:xfrm>
          <a:off x="8220075" y="1400175"/>
          <a:ext cx="14192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3</xdr:col>
      <xdr:colOff>76200</xdr:colOff>
      <xdr:row>4</xdr:row>
      <xdr:rowOff>95250</xdr:rowOff>
    </xdr:from>
    <xdr:to>
      <xdr:col>4</xdr:col>
      <xdr:colOff>133350</xdr:colOff>
      <xdr:row>5</xdr:row>
      <xdr:rowOff>95250</xdr:rowOff>
    </xdr:to>
    <xdr:sp macro="[0]!Borrar_Anual" textlink="">
      <xdr:nvSpPr>
        <xdr:cNvPr id="10248" name="Rectangle 8"/>
        <xdr:cNvSpPr>
          <a:spLocks noChangeArrowheads="1"/>
        </xdr:cNvSpPr>
      </xdr:nvSpPr>
      <xdr:spPr bwMode="auto">
        <a:xfrm>
          <a:off x="3781425" y="809625"/>
          <a:ext cx="819150" cy="161925"/>
        </a:xfrm>
        <a:prstGeom prst="rect">
          <a:avLst/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CCFFCC"/>
              </a:solidFill>
              <a:latin typeface="Arial"/>
              <a:cs typeface="Arial"/>
            </a:rPr>
            <a:t>Borrar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7</xdr:row>
      <xdr:rowOff>0</xdr:rowOff>
    </xdr:from>
    <xdr:to>
      <xdr:col>4</xdr:col>
      <xdr:colOff>400050</xdr:colOff>
      <xdr:row>8</xdr:row>
      <xdr:rowOff>19050</xdr:rowOff>
    </xdr:to>
    <xdr:sp macro="[0]!Borrar_Aguinaldos" textlink="">
      <xdr:nvSpPr>
        <xdr:cNvPr id="9217" name="Rectangle 1"/>
        <xdr:cNvSpPr>
          <a:spLocks noChangeArrowheads="1"/>
        </xdr:cNvSpPr>
      </xdr:nvSpPr>
      <xdr:spPr bwMode="auto">
        <a:xfrm>
          <a:off x="3362325" y="1295400"/>
          <a:ext cx="857250" cy="180975"/>
        </a:xfrm>
        <a:prstGeom prst="rect">
          <a:avLst/>
        </a:prstGeom>
        <a:solidFill>
          <a:srgbClr val="00330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CCFFCC"/>
              </a:solidFill>
              <a:latin typeface="Arial"/>
              <a:cs typeface="Arial"/>
            </a:rPr>
            <a:t>Borrar</a:t>
          </a:r>
        </a:p>
      </xdr:txBody>
    </xdr:sp>
    <xdr:clientData/>
  </xdr:twoCellAnchor>
  <xdr:twoCellAnchor>
    <xdr:from>
      <xdr:col>3</xdr:col>
      <xdr:colOff>295275</xdr:colOff>
      <xdr:row>5</xdr:row>
      <xdr:rowOff>47625</xdr:rowOff>
    </xdr:from>
    <xdr:to>
      <xdr:col>4</xdr:col>
      <xdr:colOff>371475</xdr:colOff>
      <xdr:row>6</xdr:row>
      <xdr:rowOff>28575</xdr:rowOff>
    </xdr:to>
    <xdr:sp macro="[0]!Imprime_Aguinaldos" textlink="">
      <xdr:nvSpPr>
        <xdr:cNvPr id="9218" name="Rectangle 2"/>
        <xdr:cNvSpPr>
          <a:spLocks noChangeArrowheads="1"/>
        </xdr:cNvSpPr>
      </xdr:nvSpPr>
      <xdr:spPr bwMode="auto">
        <a:xfrm>
          <a:off x="3352800" y="990600"/>
          <a:ext cx="838200" cy="171450"/>
        </a:xfrm>
        <a:prstGeom prst="rect">
          <a:avLst/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FFFFFF"/>
              </a:solidFill>
              <a:latin typeface="Arial"/>
              <a:cs typeface="Arial"/>
            </a:rPr>
            <a:t>Imprimir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2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3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2.emf"/><Relationship Id="rId4" Type="http://schemas.openxmlformats.org/officeDocument/2006/relationships/control" Target="../activeX/activeX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X38"/>
  <sheetViews>
    <sheetView showGridLines="0" showRowColHeaders="0" workbookViewId="0">
      <selection activeCell="C12" sqref="C12"/>
    </sheetView>
  </sheetViews>
  <sheetFormatPr baseColWidth="10" defaultColWidth="11.42578125" defaultRowHeight="12.75" x14ac:dyDescent="0.2"/>
  <cols>
    <col min="2" max="2" width="3.42578125" customWidth="1"/>
    <col min="4" max="4" width="13.140625" customWidth="1"/>
    <col min="9" max="9" width="6.85546875" customWidth="1"/>
    <col min="10" max="10" width="4.85546875" customWidth="1"/>
    <col min="11" max="11" width="3.42578125" customWidth="1"/>
  </cols>
  <sheetData>
    <row r="1" spans="1:24" ht="18" x14ac:dyDescent="0.25">
      <c r="A1" s="22" t="s">
        <v>500</v>
      </c>
      <c r="B1" s="22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</row>
    <row r="2" spans="1:24" x14ac:dyDescent="0.2">
      <c r="A2" s="27" t="s">
        <v>596</v>
      </c>
      <c r="B2" s="27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29"/>
      <c r="U2" s="529"/>
      <c r="V2" s="529"/>
      <c r="W2" s="529"/>
      <c r="X2" s="529"/>
    </row>
    <row r="3" spans="1:24" ht="13.5" thickBot="1" x14ac:dyDescent="0.25">
      <c r="A3" s="529"/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  <c r="T3" s="529"/>
      <c r="U3" s="529"/>
      <c r="V3" s="529"/>
      <c r="W3" s="529"/>
      <c r="X3" s="529"/>
    </row>
    <row r="4" spans="1:24" ht="13.5" thickBot="1" x14ac:dyDescent="0.25">
      <c r="A4" s="529"/>
      <c r="B4" s="542" t="s">
        <v>409</v>
      </c>
      <c r="C4" s="544"/>
      <c r="D4" s="530"/>
      <c r="E4" s="530"/>
      <c r="F4" s="530"/>
      <c r="G4" s="530"/>
      <c r="H4" s="530"/>
      <c r="I4" s="531"/>
      <c r="J4" s="529"/>
      <c r="K4" s="542" t="s">
        <v>413</v>
      </c>
      <c r="L4" s="543"/>
      <c r="M4" s="543"/>
      <c r="N4" s="544"/>
      <c r="O4" s="531"/>
      <c r="P4" s="532"/>
      <c r="Q4" s="532"/>
      <c r="R4" s="532"/>
      <c r="S4" s="529"/>
      <c r="T4" s="529"/>
      <c r="U4" s="529"/>
      <c r="V4" s="529"/>
      <c r="W4" s="529"/>
      <c r="X4" s="529"/>
    </row>
    <row r="5" spans="1:24" ht="15" x14ac:dyDescent="0.2">
      <c r="A5" s="529"/>
      <c r="B5" s="533"/>
      <c r="C5" s="369"/>
      <c r="D5" s="532"/>
      <c r="E5" s="532"/>
      <c r="F5" s="532"/>
      <c r="G5" s="532"/>
      <c r="H5" s="532"/>
      <c r="I5" s="534"/>
      <c r="J5" s="529"/>
      <c r="K5" s="533"/>
      <c r="L5" s="532"/>
      <c r="M5" s="370"/>
      <c r="N5" s="532"/>
      <c r="O5" s="534"/>
      <c r="P5" s="532"/>
      <c r="Q5" s="532"/>
      <c r="R5" s="532"/>
      <c r="S5" s="529"/>
      <c r="T5" s="529"/>
      <c r="U5" s="529"/>
      <c r="V5" s="529"/>
      <c r="W5" s="529"/>
      <c r="X5" s="529"/>
    </row>
    <row r="6" spans="1:24" ht="15" x14ac:dyDescent="0.2">
      <c r="A6" s="529"/>
      <c r="B6" s="533"/>
      <c r="C6" s="535" t="s">
        <v>573</v>
      </c>
      <c r="D6" s="532"/>
      <c r="E6" s="532"/>
      <c r="F6" s="535" t="s">
        <v>593</v>
      </c>
      <c r="G6" s="532"/>
      <c r="H6" s="532"/>
      <c r="I6" s="534"/>
      <c r="J6" s="529"/>
      <c r="K6" s="533"/>
      <c r="L6" s="535" t="s">
        <v>374</v>
      </c>
      <c r="M6" s="532"/>
      <c r="N6" s="532"/>
      <c r="O6" s="534"/>
      <c r="P6" s="532"/>
      <c r="Q6" s="532"/>
      <c r="R6" s="532"/>
      <c r="S6" s="529"/>
      <c r="T6" s="529"/>
      <c r="U6" s="529"/>
      <c r="V6" s="529"/>
      <c r="W6" s="529"/>
      <c r="X6" s="529"/>
    </row>
    <row r="7" spans="1:24" x14ac:dyDescent="0.2">
      <c r="A7" s="529"/>
      <c r="B7" s="533"/>
      <c r="C7" s="532"/>
      <c r="D7" s="532"/>
      <c r="E7" s="532"/>
      <c r="F7" s="532"/>
      <c r="G7" s="532"/>
      <c r="H7" s="532"/>
      <c r="I7" s="534"/>
      <c r="J7" s="529"/>
      <c r="K7" s="533"/>
      <c r="L7" s="532"/>
      <c r="M7" s="532"/>
      <c r="N7" s="532"/>
      <c r="O7" s="534"/>
      <c r="P7" s="532"/>
      <c r="Q7" s="532"/>
      <c r="R7" s="532"/>
      <c r="S7" s="529"/>
      <c r="T7" s="529"/>
      <c r="U7" s="529"/>
      <c r="V7" s="529"/>
      <c r="W7" s="529"/>
      <c r="X7" s="529"/>
    </row>
    <row r="8" spans="1:24" ht="15" x14ac:dyDescent="0.2">
      <c r="A8" s="529"/>
      <c r="B8" s="533"/>
      <c r="C8" s="535" t="s">
        <v>54</v>
      </c>
      <c r="D8" s="532"/>
      <c r="E8" s="532"/>
      <c r="F8" s="535" t="s">
        <v>470</v>
      </c>
      <c r="G8" s="532"/>
      <c r="H8" s="532"/>
      <c r="I8" s="534"/>
      <c r="J8" s="529"/>
      <c r="K8" s="533"/>
      <c r="L8" s="535" t="s">
        <v>375</v>
      </c>
      <c r="M8" s="532"/>
      <c r="N8" s="532"/>
      <c r="O8" s="534"/>
      <c r="P8" s="532"/>
      <c r="Q8" s="532"/>
      <c r="R8" s="532"/>
      <c r="S8" s="529"/>
      <c r="T8" s="529"/>
      <c r="U8" s="529"/>
      <c r="V8" s="529"/>
      <c r="W8" s="529"/>
      <c r="X8" s="529"/>
    </row>
    <row r="9" spans="1:24" ht="15" x14ac:dyDescent="0.2">
      <c r="A9" s="529"/>
      <c r="B9" s="533"/>
      <c r="C9" s="369"/>
      <c r="D9" s="532"/>
      <c r="E9" s="532"/>
      <c r="F9" s="532"/>
      <c r="G9" s="532"/>
      <c r="H9" s="532"/>
      <c r="I9" s="534"/>
      <c r="J9" s="529"/>
      <c r="K9" s="536"/>
      <c r="L9" s="537"/>
      <c r="M9" s="537"/>
      <c r="N9" s="537"/>
      <c r="O9" s="538"/>
      <c r="P9" s="532"/>
      <c r="Q9" s="532"/>
      <c r="R9" s="532"/>
      <c r="S9" s="529"/>
      <c r="T9" s="529"/>
      <c r="U9" s="529"/>
      <c r="V9" s="529"/>
      <c r="W9" s="529"/>
      <c r="X9" s="529"/>
    </row>
    <row r="10" spans="1:24" ht="15" x14ac:dyDescent="0.2">
      <c r="A10" s="529"/>
      <c r="B10" s="533"/>
      <c r="C10" s="535" t="s">
        <v>55</v>
      </c>
      <c r="D10" s="532"/>
      <c r="E10" s="532"/>
      <c r="F10" s="535" t="s">
        <v>58</v>
      </c>
      <c r="G10" s="532"/>
      <c r="H10" s="532"/>
      <c r="I10" s="534"/>
      <c r="J10" s="529"/>
      <c r="K10" s="529"/>
      <c r="L10" s="529"/>
      <c r="M10" s="529"/>
      <c r="N10" s="529"/>
      <c r="O10" s="529"/>
      <c r="P10" s="529"/>
      <c r="Q10" s="529"/>
      <c r="R10" s="529"/>
      <c r="S10" s="529"/>
      <c r="T10" s="529"/>
      <c r="U10" s="529"/>
      <c r="V10" s="529"/>
      <c r="W10" s="529"/>
      <c r="X10" s="529"/>
    </row>
    <row r="11" spans="1:24" ht="13.5" thickBot="1" x14ac:dyDescent="0.25">
      <c r="A11" s="529"/>
      <c r="B11" s="533"/>
      <c r="C11" s="532"/>
      <c r="D11" s="532"/>
      <c r="E11" s="532"/>
      <c r="F11" s="532"/>
      <c r="G11" s="532"/>
      <c r="H11" s="532"/>
      <c r="I11" s="534"/>
      <c r="J11" s="529"/>
      <c r="K11" s="529"/>
      <c r="L11" s="529"/>
      <c r="M11" s="529"/>
      <c r="N11" s="529"/>
      <c r="O11" s="529"/>
      <c r="P11" s="529"/>
      <c r="Q11" s="529"/>
      <c r="R11" s="529"/>
      <c r="S11" s="529"/>
      <c r="T11" s="529"/>
      <c r="U11" s="529"/>
      <c r="V11" s="529"/>
      <c r="W11" s="529"/>
      <c r="X11" s="529"/>
    </row>
    <row r="12" spans="1:24" ht="15.75" thickBot="1" x14ac:dyDescent="0.25">
      <c r="A12" s="529"/>
      <c r="B12" s="533"/>
      <c r="C12" s="535" t="s">
        <v>57</v>
      </c>
      <c r="D12" s="532"/>
      <c r="E12" s="532"/>
      <c r="F12" s="535" t="s">
        <v>402</v>
      </c>
      <c r="G12" s="532"/>
      <c r="H12" s="532"/>
      <c r="I12" s="534"/>
      <c r="J12" s="529"/>
      <c r="K12" s="542" t="s">
        <v>496</v>
      </c>
      <c r="L12" s="544"/>
      <c r="M12" s="530"/>
      <c r="N12" s="530"/>
      <c r="O12" s="531"/>
      <c r="P12" s="529"/>
      <c r="Q12" s="529"/>
      <c r="R12" s="529"/>
      <c r="S12" s="529"/>
      <c r="T12" s="529"/>
      <c r="U12" s="529"/>
      <c r="V12" s="529"/>
      <c r="W12" s="529"/>
      <c r="X12" s="529"/>
    </row>
    <row r="13" spans="1:24" x14ac:dyDescent="0.2">
      <c r="A13" s="529"/>
      <c r="B13" s="533"/>
      <c r="C13" s="532"/>
      <c r="D13" s="532"/>
      <c r="E13" s="532"/>
      <c r="F13" s="532"/>
      <c r="G13" s="532"/>
      <c r="H13" s="532"/>
      <c r="I13" s="534"/>
      <c r="J13" s="529"/>
      <c r="K13" s="533"/>
      <c r="L13" s="532"/>
      <c r="M13" s="532"/>
      <c r="N13" s="532"/>
      <c r="O13" s="534"/>
      <c r="P13" s="529"/>
      <c r="Q13" s="529"/>
      <c r="R13" s="529"/>
      <c r="S13" s="529"/>
      <c r="T13" s="529"/>
      <c r="U13" s="529"/>
      <c r="V13" s="529"/>
      <c r="W13" s="529"/>
      <c r="X13" s="529"/>
    </row>
    <row r="14" spans="1:24" ht="15" x14ac:dyDescent="0.2">
      <c r="A14" s="529"/>
      <c r="B14" s="533"/>
      <c r="C14" s="535" t="s">
        <v>81</v>
      </c>
      <c r="D14" s="532"/>
      <c r="E14" s="532"/>
      <c r="F14" s="532"/>
      <c r="G14" s="532"/>
      <c r="H14" s="532"/>
      <c r="I14" s="534"/>
      <c r="J14" s="529"/>
      <c r="K14" s="533"/>
      <c r="L14" s="535" t="s">
        <v>245</v>
      </c>
      <c r="M14" s="532"/>
      <c r="N14" s="532"/>
      <c r="O14" s="534"/>
      <c r="P14" s="529"/>
      <c r="Q14" s="529"/>
      <c r="R14" s="529"/>
      <c r="S14" s="529"/>
      <c r="T14" s="529"/>
      <c r="U14" s="529"/>
      <c r="V14" s="529"/>
      <c r="W14" s="529"/>
      <c r="X14" s="529"/>
    </row>
    <row r="15" spans="1:24" x14ac:dyDescent="0.2">
      <c r="A15" s="529"/>
      <c r="B15" s="536"/>
      <c r="C15" s="537"/>
      <c r="D15" s="537"/>
      <c r="E15" s="537"/>
      <c r="F15" s="537"/>
      <c r="G15" s="537"/>
      <c r="H15" s="537"/>
      <c r="I15" s="538"/>
      <c r="J15" s="529"/>
      <c r="K15" s="533"/>
      <c r="L15" s="532"/>
      <c r="M15" s="532"/>
      <c r="N15" s="532"/>
      <c r="O15" s="534"/>
      <c r="P15" s="529"/>
      <c r="Q15" s="529"/>
      <c r="R15" s="529"/>
      <c r="S15" s="529"/>
      <c r="T15" s="529"/>
      <c r="U15" s="529"/>
      <c r="V15" s="529"/>
      <c r="W15" s="529"/>
      <c r="X15" s="529"/>
    </row>
    <row r="16" spans="1:24" ht="15.75" thickBot="1" x14ac:dyDescent="0.25">
      <c r="A16" s="529"/>
      <c r="B16" s="529"/>
      <c r="C16" s="529"/>
      <c r="D16" s="529"/>
      <c r="E16" s="529"/>
      <c r="F16" s="529"/>
      <c r="G16" s="529"/>
      <c r="H16" s="529"/>
      <c r="I16" s="529"/>
      <c r="J16" s="529"/>
      <c r="K16" s="533"/>
      <c r="L16" s="535" t="s">
        <v>247</v>
      </c>
      <c r="M16" s="532"/>
      <c r="N16" s="532"/>
      <c r="O16" s="534"/>
      <c r="P16" s="529"/>
      <c r="Q16" s="529"/>
      <c r="R16" s="529"/>
      <c r="S16" s="529"/>
      <c r="T16" s="529"/>
      <c r="U16" s="529"/>
      <c r="V16" s="529"/>
      <c r="W16" s="529"/>
      <c r="X16" s="529"/>
    </row>
    <row r="17" spans="1:24" ht="13.5" thickBot="1" x14ac:dyDescent="0.25">
      <c r="A17" s="529"/>
      <c r="B17" s="542" t="s">
        <v>495</v>
      </c>
      <c r="C17" s="543"/>
      <c r="D17" s="543"/>
      <c r="E17" s="543"/>
      <c r="F17" s="544"/>
      <c r="G17" s="530"/>
      <c r="H17" s="530"/>
      <c r="I17" s="531"/>
      <c r="J17" s="529"/>
      <c r="K17" s="533"/>
      <c r="L17" s="532"/>
      <c r="M17" s="532"/>
      <c r="N17" s="532"/>
      <c r="O17" s="534"/>
      <c r="P17" s="529"/>
      <c r="Q17" s="529"/>
      <c r="R17" s="529"/>
      <c r="S17" s="529"/>
      <c r="T17" s="529"/>
      <c r="U17" s="529"/>
      <c r="V17" s="529"/>
      <c r="W17" s="529"/>
      <c r="X17" s="529"/>
    </row>
    <row r="18" spans="1:24" ht="15" x14ac:dyDescent="0.2">
      <c r="A18" s="529"/>
      <c r="B18" s="533"/>
      <c r="C18" s="532"/>
      <c r="D18" s="532"/>
      <c r="E18" s="532"/>
      <c r="F18" s="532"/>
      <c r="G18" s="532"/>
      <c r="H18" s="532"/>
      <c r="I18" s="534"/>
      <c r="J18" s="529"/>
      <c r="K18" s="533"/>
      <c r="L18" s="535" t="s">
        <v>524</v>
      </c>
      <c r="M18" s="532"/>
      <c r="N18" s="532"/>
      <c r="O18" s="534"/>
      <c r="P18" s="529"/>
      <c r="Q18" s="529"/>
      <c r="R18" s="529"/>
      <c r="S18" s="529"/>
      <c r="T18" s="529"/>
      <c r="U18" s="529"/>
      <c r="V18" s="529"/>
      <c r="W18" s="529"/>
      <c r="X18" s="529"/>
    </row>
    <row r="19" spans="1:24" ht="15" x14ac:dyDescent="0.2">
      <c r="A19" s="529"/>
      <c r="B19" s="533"/>
      <c r="C19" s="535" t="s">
        <v>70</v>
      </c>
      <c r="D19" s="532"/>
      <c r="E19" s="539" t="s">
        <v>319</v>
      </c>
      <c r="F19" s="535" t="s">
        <v>571</v>
      </c>
      <c r="G19" s="532"/>
      <c r="H19" s="532"/>
      <c r="I19" s="534"/>
      <c r="J19" s="529"/>
      <c r="K19" s="536"/>
      <c r="L19" s="537"/>
      <c r="M19" s="537"/>
      <c r="N19" s="537"/>
      <c r="O19" s="538"/>
      <c r="P19" s="529"/>
      <c r="Q19" s="529"/>
      <c r="R19" s="529"/>
      <c r="S19" s="529"/>
      <c r="T19" s="529"/>
      <c r="U19" s="529"/>
      <c r="V19" s="529"/>
      <c r="W19" s="529"/>
      <c r="X19" s="529"/>
    </row>
    <row r="20" spans="1:24" x14ac:dyDescent="0.2">
      <c r="A20" s="529"/>
      <c r="B20" s="533"/>
      <c r="C20" s="532"/>
      <c r="D20" s="532"/>
      <c r="E20" s="532"/>
      <c r="F20" s="532"/>
      <c r="G20" s="532"/>
      <c r="H20" s="532"/>
      <c r="I20" s="534"/>
      <c r="J20" s="529"/>
      <c r="K20" s="530"/>
      <c r="L20" s="530"/>
      <c r="M20" s="530"/>
      <c r="N20" s="530"/>
      <c r="O20" s="530"/>
      <c r="P20" s="529"/>
      <c r="Q20" s="529"/>
      <c r="R20" s="529"/>
      <c r="S20" s="529"/>
      <c r="T20" s="529"/>
      <c r="U20" s="529"/>
      <c r="V20" s="529"/>
      <c r="W20" s="529"/>
      <c r="X20" s="529"/>
    </row>
    <row r="21" spans="1:24" ht="15" x14ac:dyDescent="0.2">
      <c r="A21" s="529"/>
      <c r="B21" s="533"/>
      <c r="C21" s="535" t="s">
        <v>217</v>
      </c>
      <c r="D21" s="532"/>
      <c r="E21" s="539" t="s">
        <v>319</v>
      </c>
      <c r="F21" s="532"/>
      <c r="G21" s="532"/>
      <c r="H21" s="532"/>
      <c r="I21" s="534"/>
      <c r="J21" s="529"/>
      <c r="K21" s="532"/>
      <c r="L21" s="532"/>
      <c r="M21" s="532"/>
      <c r="N21" s="532"/>
      <c r="O21" s="532"/>
      <c r="P21" s="529"/>
      <c r="Q21" s="529"/>
      <c r="R21" s="529"/>
      <c r="S21" s="529"/>
      <c r="T21" s="529"/>
      <c r="U21" s="529"/>
      <c r="V21" s="529"/>
      <c r="W21" s="529"/>
      <c r="X21" s="529"/>
    </row>
    <row r="22" spans="1:24" x14ac:dyDescent="0.2">
      <c r="A22" s="529"/>
      <c r="B22" s="536"/>
      <c r="C22" s="537"/>
      <c r="D22" s="537"/>
      <c r="E22" s="537"/>
      <c r="F22" s="537"/>
      <c r="G22" s="537"/>
      <c r="H22" s="537"/>
      <c r="I22" s="538"/>
      <c r="J22" s="529"/>
      <c r="K22" s="541"/>
      <c r="L22" s="529"/>
      <c r="M22" s="529"/>
      <c r="N22" s="529"/>
      <c r="O22" s="529"/>
      <c r="P22" s="529"/>
      <c r="Q22" s="529"/>
      <c r="R22" s="529"/>
      <c r="S22" s="529"/>
      <c r="T22" s="529"/>
      <c r="U22" s="529"/>
      <c r="V22" s="529"/>
      <c r="W22" s="529"/>
      <c r="X22" s="529"/>
    </row>
    <row r="23" spans="1:24" x14ac:dyDescent="0.2">
      <c r="A23" s="529"/>
      <c r="B23" s="529"/>
      <c r="C23" s="529"/>
      <c r="D23" s="529"/>
      <c r="E23" s="529"/>
      <c r="F23" s="529"/>
      <c r="G23" s="529"/>
      <c r="H23" s="529"/>
      <c r="I23" s="529"/>
      <c r="J23" s="529"/>
      <c r="K23" s="529"/>
      <c r="L23" s="529"/>
      <c r="M23" s="529"/>
      <c r="N23" s="529"/>
      <c r="O23" s="529"/>
      <c r="P23" s="529"/>
      <c r="Q23" s="529"/>
      <c r="R23" s="529"/>
      <c r="S23" s="529"/>
      <c r="T23" s="529"/>
      <c r="U23" s="529"/>
      <c r="V23" s="529"/>
      <c r="W23" s="529"/>
      <c r="X23" s="529"/>
    </row>
    <row r="24" spans="1:24" x14ac:dyDescent="0.2">
      <c r="A24" s="529"/>
      <c r="B24" s="529"/>
      <c r="C24" s="529"/>
      <c r="D24" s="529"/>
      <c r="E24" s="529"/>
      <c r="F24" s="529"/>
      <c r="G24" s="529"/>
      <c r="H24" s="529"/>
      <c r="I24" s="529"/>
      <c r="J24" s="529"/>
      <c r="K24" s="53"/>
      <c r="L24" s="529"/>
      <c r="M24" s="529"/>
      <c r="N24" s="529"/>
      <c r="O24" s="529"/>
      <c r="P24" s="529"/>
      <c r="Q24" s="529"/>
      <c r="R24" s="529"/>
      <c r="S24" s="529"/>
      <c r="T24" s="529"/>
      <c r="U24" s="529"/>
      <c r="V24" s="529"/>
      <c r="W24" s="529"/>
      <c r="X24" s="529"/>
    </row>
    <row r="25" spans="1:24" x14ac:dyDescent="0.2">
      <c r="A25" s="529"/>
      <c r="B25" s="545" t="s">
        <v>527</v>
      </c>
      <c r="C25" s="546"/>
      <c r="D25" s="547"/>
      <c r="E25" s="77">
        <v>57.46</v>
      </c>
      <c r="F25" s="27" t="s">
        <v>47</v>
      </c>
      <c r="G25" s="529"/>
      <c r="H25" s="529"/>
      <c r="I25" s="529"/>
      <c r="J25" s="529"/>
      <c r="K25" s="529"/>
      <c r="L25" s="540"/>
      <c r="M25" s="529"/>
      <c r="N25" s="529"/>
      <c r="O25" s="529"/>
      <c r="P25" s="529"/>
      <c r="Q25" s="529"/>
      <c r="R25" s="529"/>
      <c r="S25" s="529"/>
      <c r="T25" s="529"/>
      <c r="U25" s="529"/>
      <c r="V25" s="529"/>
      <c r="W25" s="529"/>
      <c r="X25" s="529"/>
    </row>
    <row r="26" spans="1:24" x14ac:dyDescent="0.2">
      <c r="A26" s="529"/>
      <c r="B26" s="529"/>
      <c r="C26" s="529"/>
      <c r="D26" s="529"/>
      <c r="E26" s="529"/>
      <c r="F26" s="529"/>
      <c r="G26" s="529"/>
      <c r="H26" s="529"/>
      <c r="I26" s="529"/>
      <c r="J26" s="529"/>
      <c r="K26" s="529"/>
      <c r="L26" s="529"/>
      <c r="M26" s="529"/>
      <c r="N26" s="529"/>
      <c r="O26" s="529"/>
      <c r="P26" s="529"/>
      <c r="Q26" s="529"/>
      <c r="R26" s="529"/>
      <c r="S26" s="529"/>
      <c r="T26" s="529"/>
      <c r="U26" s="529"/>
      <c r="V26" s="529"/>
      <c r="W26" s="529"/>
      <c r="X26" s="529"/>
    </row>
    <row r="27" spans="1:24" x14ac:dyDescent="0.2">
      <c r="A27" s="529"/>
      <c r="B27" s="529"/>
      <c r="C27" s="529"/>
      <c r="D27" s="529"/>
      <c r="E27" s="529"/>
      <c r="F27" s="529"/>
      <c r="G27" s="540"/>
      <c r="H27" s="529"/>
      <c r="I27" s="529"/>
      <c r="J27" s="529"/>
      <c r="K27" s="529"/>
      <c r="L27" s="529"/>
      <c r="M27" s="529"/>
      <c r="N27" s="529"/>
      <c r="O27" s="529"/>
      <c r="P27" s="529"/>
      <c r="Q27" s="529"/>
      <c r="R27" s="529"/>
      <c r="S27" s="529"/>
      <c r="T27" s="529"/>
      <c r="U27" s="529"/>
      <c r="V27" s="529"/>
      <c r="W27" s="529"/>
      <c r="X27" s="529"/>
    </row>
    <row r="28" spans="1:24" x14ac:dyDescent="0.2">
      <c r="A28" s="529"/>
      <c r="B28" s="529"/>
      <c r="C28" s="529"/>
      <c r="D28" s="529"/>
      <c r="E28" s="529"/>
      <c r="F28" s="529"/>
      <c r="G28" s="529"/>
      <c r="H28" s="529"/>
      <c r="I28" s="529"/>
      <c r="J28" s="529"/>
      <c r="K28" s="529"/>
      <c r="L28" s="529"/>
      <c r="M28" s="529"/>
      <c r="N28" s="529"/>
      <c r="O28" s="529"/>
      <c r="P28" s="529"/>
      <c r="Q28" s="529"/>
      <c r="R28" s="529"/>
      <c r="S28" s="529"/>
      <c r="T28" s="529"/>
      <c r="U28" s="529"/>
      <c r="V28" s="529"/>
      <c r="W28" s="529"/>
      <c r="X28" s="529"/>
    </row>
    <row r="29" spans="1:24" x14ac:dyDescent="0.2">
      <c r="A29" s="529"/>
      <c r="B29" s="529"/>
      <c r="C29" s="529"/>
      <c r="D29" s="529"/>
      <c r="E29" s="529"/>
      <c r="F29" s="529"/>
      <c r="G29" s="529"/>
      <c r="H29" s="529"/>
      <c r="I29" s="529"/>
      <c r="J29" s="529"/>
      <c r="K29" s="529"/>
      <c r="L29" s="529"/>
      <c r="M29" s="529"/>
      <c r="N29" s="529"/>
      <c r="O29" s="529"/>
      <c r="P29" s="529"/>
      <c r="Q29" s="529"/>
      <c r="R29" s="529"/>
      <c r="S29" s="529"/>
      <c r="T29" s="529"/>
      <c r="U29" s="529"/>
      <c r="V29" s="529"/>
      <c r="W29" s="529"/>
      <c r="X29" s="529"/>
    </row>
    <row r="30" spans="1:24" x14ac:dyDescent="0.2">
      <c r="A30" s="529"/>
      <c r="B30" s="529"/>
      <c r="C30" s="529"/>
      <c r="D30" s="529"/>
      <c r="E30" s="529"/>
      <c r="F30" s="529"/>
      <c r="G30" s="529"/>
      <c r="H30" s="529"/>
      <c r="I30" s="529"/>
      <c r="J30" s="529"/>
      <c r="K30" s="529"/>
      <c r="L30" s="529"/>
      <c r="M30" s="529"/>
      <c r="N30" s="529"/>
      <c r="O30" s="529"/>
      <c r="P30" s="529"/>
      <c r="Q30" s="529"/>
      <c r="R30" s="529"/>
      <c r="S30" s="529"/>
      <c r="T30" s="529"/>
      <c r="U30" s="529"/>
      <c r="V30" s="529"/>
      <c r="W30" s="529"/>
      <c r="X30" s="529"/>
    </row>
    <row r="31" spans="1:24" x14ac:dyDescent="0.2">
      <c r="A31" s="529"/>
      <c r="B31" s="529"/>
      <c r="C31" s="529"/>
      <c r="D31" s="529"/>
      <c r="E31" s="529"/>
      <c r="F31" s="529"/>
      <c r="G31" s="529"/>
      <c r="H31" s="529"/>
      <c r="I31" s="529"/>
      <c r="J31" s="529"/>
      <c r="K31" s="529"/>
      <c r="L31" s="529"/>
      <c r="M31" s="529"/>
      <c r="N31" s="529"/>
      <c r="O31" s="529"/>
      <c r="P31" s="529"/>
      <c r="Q31" s="529"/>
      <c r="R31" s="529"/>
      <c r="S31" s="529"/>
      <c r="T31" s="529"/>
      <c r="U31" s="529"/>
      <c r="V31" s="529"/>
      <c r="W31" s="529"/>
      <c r="X31" s="529"/>
    </row>
    <row r="32" spans="1:24" x14ac:dyDescent="0.2">
      <c r="A32" s="529"/>
      <c r="B32" s="529"/>
      <c r="C32" s="529"/>
      <c r="D32" s="529"/>
      <c r="E32" s="529"/>
      <c r="F32" s="529"/>
      <c r="G32" s="529"/>
      <c r="H32" s="529"/>
      <c r="I32" s="529"/>
      <c r="J32" s="529"/>
      <c r="K32" s="529"/>
      <c r="L32" s="529"/>
      <c r="M32" s="529"/>
      <c r="N32" s="529"/>
      <c r="O32" s="529"/>
      <c r="P32" s="529"/>
      <c r="Q32" s="529"/>
      <c r="R32" s="529"/>
      <c r="S32" s="529"/>
      <c r="T32" s="529"/>
      <c r="U32" s="529"/>
      <c r="V32" s="529"/>
      <c r="W32" s="529"/>
      <c r="X32" s="529"/>
    </row>
    <row r="33" spans="1:24" x14ac:dyDescent="0.2">
      <c r="A33" s="529"/>
      <c r="B33" s="529"/>
      <c r="C33" s="529"/>
      <c r="D33" s="529"/>
      <c r="E33" s="529"/>
      <c r="F33" s="529"/>
      <c r="G33" s="529"/>
      <c r="H33" s="529"/>
      <c r="I33" s="529"/>
      <c r="J33" s="529"/>
      <c r="K33" s="529"/>
      <c r="L33" s="529"/>
      <c r="M33" s="529"/>
      <c r="N33" s="529"/>
      <c r="O33" s="529"/>
      <c r="P33" s="529"/>
      <c r="Q33" s="529"/>
      <c r="R33" s="529"/>
      <c r="S33" s="529"/>
      <c r="T33" s="529"/>
      <c r="U33" s="529"/>
      <c r="V33" s="529"/>
      <c r="W33" s="529"/>
      <c r="X33" s="529"/>
    </row>
    <row r="34" spans="1:24" x14ac:dyDescent="0.2">
      <c r="A34" s="529"/>
      <c r="B34" s="529"/>
      <c r="C34" s="529"/>
      <c r="D34" s="529"/>
      <c r="E34" s="529"/>
      <c r="F34" s="529"/>
      <c r="G34" s="529"/>
      <c r="H34" s="529"/>
      <c r="I34" s="529"/>
      <c r="J34" s="529"/>
      <c r="K34" s="529"/>
      <c r="L34" s="529"/>
      <c r="M34" s="529"/>
      <c r="N34" s="529"/>
      <c r="O34" s="529"/>
      <c r="P34" s="529"/>
      <c r="Q34" s="529"/>
      <c r="R34" s="529"/>
      <c r="S34" s="529"/>
      <c r="T34" s="529"/>
      <c r="U34" s="529"/>
      <c r="V34" s="529"/>
      <c r="W34" s="529"/>
      <c r="X34" s="529"/>
    </row>
    <row r="35" spans="1:24" x14ac:dyDescent="0.2">
      <c r="A35" s="529"/>
      <c r="B35" s="529"/>
      <c r="C35" s="529"/>
      <c r="D35" s="529"/>
      <c r="E35" s="529"/>
      <c r="F35" s="529"/>
      <c r="G35" s="529"/>
      <c r="H35" s="529"/>
      <c r="I35" s="529"/>
      <c r="J35" s="529"/>
      <c r="K35" s="529"/>
      <c r="L35" s="529"/>
      <c r="M35" s="529"/>
      <c r="N35" s="529"/>
      <c r="O35" s="529"/>
      <c r="P35" s="529"/>
      <c r="Q35" s="529"/>
      <c r="R35" s="529"/>
      <c r="S35" s="529"/>
      <c r="T35" s="529"/>
      <c r="U35" s="529"/>
      <c r="V35" s="529"/>
      <c r="W35" s="529"/>
      <c r="X35" s="529"/>
    </row>
    <row r="36" spans="1:24" x14ac:dyDescent="0.2">
      <c r="A36" s="529"/>
      <c r="B36" s="529"/>
      <c r="C36" s="529"/>
      <c r="D36" s="529"/>
      <c r="E36" s="529"/>
      <c r="F36" s="529"/>
      <c r="G36" s="529"/>
      <c r="H36" s="529"/>
      <c r="I36" s="529"/>
      <c r="J36" s="529"/>
      <c r="K36" s="529"/>
      <c r="L36" s="529"/>
      <c r="M36" s="529"/>
      <c r="N36" s="529"/>
      <c r="O36" s="529"/>
      <c r="P36" s="529"/>
      <c r="Q36" s="529"/>
      <c r="R36" s="529"/>
      <c r="S36" s="529"/>
      <c r="T36" s="529"/>
      <c r="U36" s="529"/>
      <c r="V36" s="529"/>
      <c r="W36" s="529"/>
      <c r="X36" s="529"/>
    </row>
    <row r="37" spans="1:24" x14ac:dyDescent="0.2">
      <c r="A37" s="529"/>
      <c r="B37" s="529"/>
      <c r="C37" s="529"/>
      <c r="D37" s="529"/>
      <c r="E37" s="529"/>
      <c r="F37" s="529"/>
      <c r="G37" s="529"/>
      <c r="H37" s="529"/>
      <c r="I37" s="529"/>
      <c r="J37" s="529"/>
      <c r="K37" s="529"/>
      <c r="L37" s="529"/>
      <c r="M37" s="529"/>
      <c r="N37" s="529"/>
      <c r="O37" s="529"/>
      <c r="P37" s="529"/>
      <c r="Q37" s="529"/>
      <c r="R37" s="529"/>
      <c r="S37" s="529"/>
      <c r="T37" s="529"/>
      <c r="U37" s="529"/>
      <c r="V37" s="529"/>
      <c r="W37" s="529"/>
      <c r="X37" s="529"/>
    </row>
    <row r="38" spans="1:24" x14ac:dyDescent="0.2">
      <c r="A38" s="529"/>
      <c r="B38" s="529"/>
      <c r="C38" s="529"/>
      <c r="D38" s="529"/>
      <c r="E38" s="529"/>
      <c r="F38" s="529"/>
      <c r="G38" s="529"/>
      <c r="H38" s="529"/>
      <c r="I38" s="529"/>
      <c r="J38" s="529"/>
      <c r="K38" s="529"/>
      <c r="L38" s="529"/>
      <c r="M38" s="529"/>
      <c r="N38" s="529"/>
      <c r="O38" s="529"/>
      <c r="P38" s="529"/>
      <c r="Q38" s="529"/>
      <c r="R38" s="529"/>
      <c r="S38" s="529"/>
      <c r="T38" s="529"/>
      <c r="U38" s="529"/>
      <c r="V38" s="529"/>
      <c r="W38" s="529"/>
      <c r="X38" s="529"/>
    </row>
  </sheetData>
  <mergeCells count="5">
    <mergeCell ref="B17:F17"/>
    <mergeCell ref="K4:N4"/>
    <mergeCell ref="K12:L12"/>
    <mergeCell ref="B25:D25"/>
    <mergeCell ref="B4:C4"/>
  </mergeCells>
  <phoneticPr fontId="0" type="noConversion"/>
  <dataValidations count="1">
    <dataValidation type="list" allowBlank="1" showInputMessage="1" showErrorMessage="1" sqref="E25">
      <formula1>"0,57.46,55.84,54.47"</formula1>
    </dataValidation>
  </dataValidations>
  <hyperlinks>
    <hyperlink ref="C8" location="Semanal!A1" display="Semanal!A1"/>
    <hyperlink ref="C10" location="Quincenal!A1" display="Quincenal!A1"/>
    <hyperlink ref="F10" location="Asimilables!A1" display="Asimilables!A1"/>
    <hyperlink ref="C12" location="Mensual!A1" display="Mensual!A1"/>
    <hyperlink ref="C19" location="'Arrendamiento mensual'!A1" display="'Arrendamiento mensual'!A1"/>
    <hyperlink ref="C14" location="Anual!A1" display="Anual!A1"/>
    <hyperlink ref="C21" location="Honorarios!A1" display="Honorarios mensual"/>
    <hyperlink ref="L14" location="Imss!A1" display="Cálculo Salario Diario Integrado"/>
    <hyperlink ref="L16" location="INPC!A34" display="INPC"/>
    <hyperlink ref="L6" location="Enaj_1!A1" display="Enajenación de Inmuebles 1"/>
    <hyperlink ref="E19" location="Arr_Acum!A1" display="- Anual"/>
    <hyperlink ref="E21" location="Hono_Acum!A1" display="- Anual"/>
    <hyperlink ref="L8" location="Enajenacion!A1" display="Enajenación de Inmuebles"/>
    <hyperlink ref="F6" location="Aguinaldos!A1" display="Calculo de la Retención Aguinaldo, Ptu."/>
    <hyperlink ref="F12" location="Anual_General!A1" display="Calculo Anual de ISR"/>
    <hyperlink ref="F8" location="Separacion!A1" display="Calculo de la Retención - Separación"/>
    <hyperlink ref="L18" location="Tablas!A1" display="Tablas y Tarifas"/>
    <hyperlink ref="C6" location="Diaria!A1" display="Percepcion Diaria"/>
    <hyperlink ref="F19" location="Ietu!A1" display="Ietu"/>
  </hyperlinks>
  <pageMargins left="0.75" right="0.75" top="1" bottom="1" header="0" footer="0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BS137"/>
  <sheetViews>
    <sheetView showGridLines="0" showRowColHeaders="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F1" sqref="F1"/>
    </sheetView>
  </sheetViews>
  <sheetFormatPr baseColWidth="10" defaultColWidth="11.42578125" defaultRowHeight="12.75" x14ac:dyDescent="0.2"/>
  <cols>
    <col min="1" max="1" width="33.42578125" customWidth="1"/>
    <col min="2" max="2" width="2.42578125" customWidth="1"/>
    <col min="3" max="3" width="12.85546875" bestFit="1" customWidth="1"/>
    <col min="4" max="15" width="12.85546875" customWidth="1"/>
    <col min="59" max="59" width="18.140625" customWidth="1"/>
  </cols>
  <sheetData>
    <row r="1" spans="1:71" x14ac:dyDescent="0.2">
      <c r="A1" s="30" t="s">
        <v>295</v>
      </c>
      <c r="B1" s="31"/>
      <c r="C1" s="31"/>
      <c r="D1" s="31"/>
      <c r="E1" s="1"/>
      <c r="F1" s="24" t="s">
        <v>56</v>
      </c>
      <c r="G1" s="1"/>
      <c r="H1" s="1"/>
      <c r="I1" s="1"/>
      <c r="J1" s="1"/>
      <c r="K1" s="1"/>
      <c r="L1" s="1"/>
      <c r="M1" s="1"/>
      <c r="N1" s="1"/>
    </row>
    <row r="2" spans="1:71" x14ac:dyDescent="0.2">
      <c r="A2" s="470" t="str">
        <f>'Arrendamiento mensual'!A2</f>
        <v>Ejercicio Fiscal de 2010</v>
      </c>
      <c r="B2" s="31"/>
      <c r="C2" s="31"/>
      <c r="D2" s="31"/>
      <c r="E2" s="10"/>
      <c r="F2" s="1"/>
      <c r="G2" s="24"/>
      <c r="H2" s="28"/>
      <c r="I2" s="1"/>
      <c r="J2" s="1"/>
      <c r="K2" s="1"/>
      <c r="L2" s="1"/>
      <c r="M2" s="1"/>
      <c r="N2" s="1"/>
    </row>
    <row r="3" spans="1:71" x14ac:dyDescent="0.2">
      <c r="A3" s="30"/>
      <c r="B3" s="31"/>
      <c r="C3" s="31"/>
      <c r="D3" s="31"/>
      <c r="E3" s="10"/>
      <c r="F3" s="23"/>
      <c r="G3" s="24"/>
      <c r="H3" s="28"/>
      <c r="I3" s="1"/>
      <c r="J3" s="1"/>
      <c r="K3" s="1"/>
      <c r="L3" s="1"/>
      <c r="M3" s="1"/>
      <c r="N3" s="1"/>
    </row>
    <row r="4" spans="1:71" x14ac:dyDescent="0.2">
      <c r="A4" s="156" t="s">
        <v>221</v>
      </c>
      <c r="B4" s="249"/>
      <c r="C4" s="256">
        <v>1</v>
      </c>
      <c r="D4" s="31"/>
      <c r="E4" s="10"/>
      <c r="F4" s="24"/>
      <c r="G4" s="24"/>
      <c r="H4" s="28"/>
      <c r="I4" s="1"/>
      <c r="J4" s="1"/>
      <c r="K4" s="1"/>
      <c r="L4" s="1"/>
      <c r="M4" s="1"/>
      <c r="N4" s="1"/>
      <c r="BH4" s="100" t="s">
        <v>143</v>
      </c>
      <c r="BI4" s="100" t="s">
        <v>144</v>
      </c>
      <c r="BJ4" s="100" t="s">
        <v>145</v>
      </c>
      <c r="BK4" s="100" t="s">
        <v>146</v>
      </c>
      <c r="BL4" s="100" t="s">
        <v>147</v>
      </c>
      <c r="BM4" s="100" t="s">
        <v>148</v>
      </c>
      <c r="BN4" s="100" t="s">
        <v>149</v>
      </c>
      <c r="BO4" s="100" t="s">
        <v>150</v>
      </c>
      <c r="BP4" s="100" t="s">
        <v>151</v>
      </c>
      <c r="BQ4" s="100" t="s">
        <v>152</v>
      </c>
      <c r="BR4" s="100" t="s">
        <v>153</v>
      </c>
      <c r="BS4" s="100" t="s">
        <v>154</v>
      </c>
    </row>
    <row r="5" spans="1:71" x14ac:dyDescent="0.2">
      <c r="A5" s="134" t="s">
        <v>190</v>
      </c>
      <c r="B5" s="257"/>
      <c r="C5" s="212" t="s">
        <v>136</v>
      </c>
      <c r="D5" s="206"/>
      <c r="E5" s="206"/>
      <c r="F5" s="207"/>
      <c r="G5" s="129" t="s">
        <v>47</v>
      </c>
      <c r="H5" s="28"/>
      <c r="I5" s="1"/>
      <c r="J5" s="1"/>
      <c r="K5" s="1"/>
      <c r="L5" s="1"/>
      <c r="M5" s="1"/>
      <c r="N5" s="1"/>
    </row>
    <row r="6" spans="1:71" x14ac:dyDescent="0.2">
      <c r="A6" s="134" t="s">
        <v>216</v>
      </c>
      <c r="B6" s="257"/>
      <c r="C6" s="212" t="s">
        <v>136</v>
      </c>
      <c r="D6" s="206"/>
      <c r="E6" s="206"/>
      <c r="F6" s="207"/>
      <c r="G6" s="129" t="s">
        <v>47</v>
      </c>
      <c r="H6" s="28"/>
      <c r="I6" s="1"/>
      <c r="J6" s="1"/>
      <c r="K6" s="1"/>
      <c r="L6" s="1"/>
      <c r="M6" s="1"/>
      <c r="N6" s="1"/>
      <c r="BG6" s="1" t="s">
        <v>8</v>
      </c>
      <c r="BH6" s="247">
        <f t="shared" ref="BH6:BS6" si="0">IF(C17=0,0,C17)</f>
        <v>0</v>
      </c>
      <c r="BI6" s="247">
        <f t="shared" si="0"/>
        <v>0</v>
      </c>
      <c r="BJ6" s="247">
        <f t="shared" si="0"/>
        <v>0</v>
      </c>
      <c r="BK6" s="247">
        <f t="shared" si="0"/>
        <v>0</v>
      </c>
      <c r="BL6" s="247">
        <f t="shared" si="0"/>
        <v>0</v>
      </c>
      <c r="BM6" s="247">
        <f t="shared" si="0"/>
        <v>0</v>
      </c>
      <c r="BN6" s="247">
        <f t="shared" si="0"/>
        <v>0</v>
      </c>
      <c r="BO6" s="247">
        <f t="shared" si="0"/>
        <v>0</v>
      </c>
      <c r="BP6" s="247">
        <f t="shared" si="0"/>
        <v>0</v>
      </c>
      <c r="BQ6" s="247">
        <f t="shared" si="0"/>
        <v>0</v>
      </c>
      <c r="BR6" s="247">
        <f t="shared" si="0"/>
        <v>0</v>
      </c>
      <c r="BS6" s="247">
        <f t="shared" si="0"/>
        <v>0</v>
      </c>
    </row>
    <row r="7" spans="1:71" x14ac:dyDescent="0.2">
      <c r="A7" s="134" t="s">
        <v>464</v>
      </c>
      <c r="B7" s="257"/>
      <c r="C7" s="212" t="s">
        <v>136</v>
      </c>
      <c r="D7" s="206"/>
      <c r="E7" s="206"/>
      <c r="F7" s="207"/>
      <c r="G7" s="129" t="s">
        <v>47</v>
      </c>
      <c r="H7" s="28"/>
      <c r="I7" s="1"/>
      <c r="J7" s="1"/>
      <c r="K7" s="1"/>
      <c r="L7" s="1"/>
      <c r="M7" s="1"/>
      <c r="N7" s="1"/>
      <c r="BG7" s="1" t="s">
        <v>9</v>
      </c>
      <c r="BH7" s="3">
        <f t="shared" ref="BH7:BS7" si="1">IF(BH6=0,0,VLOOKUP(BH$6,Mensual,1))</f>
        <v>0</v>
      </c>
      <c r="BI7" s="3">
        <f t="shared" si="1"/>
        <v>0</v>
      </c>
      <c r="BJ7" s="3">
        <f t="shared" si="1"/>
        <v>0</v>
      </c>
      <c r="BK7" s="3">
        <f t="shared" si="1"/>
        <v>0</v>
      </c>
      <c r="BL7" s="3">
        <f t="shared" si="1"/>
        <v>0</v>
      </c>
      <c r="BM7" s="3">
        <f t="shared" si="1"/>
        <v>0</v>
      </c>
      <c r="BN7" s="3">
        <f t="shared" si="1"/>
        <v>0</v>
      </c>
      <c r="BO7" s="3">
        <f t="shared" si="1"/>
        <v>0</v>
      </c>
      <c r="BP7" s="3">
        <f t="shared" si="1"/>
        <v>0</v>
      </c>
      <c r="BQ7" s="3">
        <f t="shared" si="1"/>
        <v>0</v>
      </c>
      <c r="BR7" s="3">
        <f t="shared" si="1"/>
        <v>0</v>
      </c>
      <c r="BS7" s="3">
        <f t="shared" si="1"/>
        <v>0</v>
      </c>
    </row>
    <row r="8" spans="1:71" x14ac:dyDescent="0.2">
      <c r="A8" s="259"/>
      <c r="B8" s="260"/>
      <c r="C8" s="261"/>
      <c r="D8" s="262"/>
      <c r="E8" s="262"/>
      <c r="F8" s="263"/>
      <c r="G8" s="243"/>
      <c r="H8" s="28"/>
      <c r="I8" s="1"/>
      <c r="J8" s="1"/>
      <c r="K8" s="1"/>
      <c r="L8" s="1"/>
      <c r="M8" s="1"/>
      <c r="N8" s="1"/>
      <c r="BG8" s="1" t="s">
        <v>10</v>
      </c>
      <c r="BH8" s="247">
        <f>+BH6-BH7</f>
        <v>0</v>
      </c>
      <c r="BI8" s="247">
        <f>+BI6-BI7</f>
        <v>0</v>
      </c>
      <c r="BJ8" s="247">
        <f t="shared" ref="BJ8:BS8" si="2">+BJ6-BJ7</f>
        <v>0</v>
      </c>
      <c r="BK8" s="247">
        <f t="shared" si="2"/>
        <v>0</v>
      </c>
      <c r="BL8" s="247">
        <f t="shared" si="2"/>
        <v>0</v>
      </c>
      <c r="BM8" s="247">
        <f t="shared" si="2"/>
        <v>0</v>
      </c>
      <c r="BN8" s="247">
        <f t="shared" si="2"/>
        <v>0</v>
      </c>
      <c r="BO8" s="247">
        <f t="shared" si="2"/>
        <v>0</v>
      </c>
      <c r="BP8" s="247">
        <f t="shared" si="2"/>
        <v>0</v>
      </c>
      <c r="BQ8" s="247">
        <f t="shared" si="2"/>
        <v>0</v>
      </c>
      <c r="BR8" s="247">
        <f t="shared" si="2"/>
        <v>0</v>
      </c>
      <c r="BS8" s="247">
        <f t="shared" si="2"/>
        <v>0</v>
      </c>
    </row>
    <row r="9" spans="1:71" x14ac:dyDescent="0.2">
      <c r="A9" s="152"/>
      <c r="B9" s="245"/>
      <c r="C9" s="148"/>
      <c r="D9" s="148"/>
      <c r="E9" s="148"/>
      <c r="F9" s="246"/>
      <c r="G9" s="243"/>
      <c r="H9" s="28"/>
      <c r="I9" s="1"/>
      <c r="J9" s="1"/>
      <c r="K9" s="1"/>
      <c r="L9" s="1"/>
      <c r="M9" s="1"/>
      <c r="N9" s="1"/>
      <c r="BG9" s="1" t="s">
        <v>11</v>
      </c>
      <c r="BH9" s="73">
        <f t="shared" ref="BH9:BS9" si="3">IF(BH6=0,0,VLOOKUP(BH$6,Mensual,4))</f>
        <v>0</v>
      </c>
      <c r="BI9" s="73">
        <f t="shared" si="3"/>
        <v>0</v>
      </c>
      <c r="BJ9" s="73">
        <f t="shared" si="3"/>
        <v>0</v>
      </c>
      <c r="BK9" s="73">
        <f t="shared" si="3"/>
        <v>0</v>
      </c>
      <c r="BL9" s="73">
        <f t="shared" si="3"/>
        <v>0</v>
      </c>
      <c r="BM9" s="73">
        <f t="shared" si="3"/>
        <v>0</v>
      </c>
      <c r="BN9" s="73">
        <f t="shared" si="3"/>
        <v>0</v>
      </c>
      <c r="BO9" s="73">
        <f t="shared" si="3"/>
        <v>0</v>
      </c>
      <c r="BP9" s="73">
        <f t="shared" si="3"/>
        <v>0</v>
      </c>
      <c r="BQ9" s="73">
        <f t="shared" si="3"/>
        <v>0</v>
      </c>
      <c r="BR9" s="73">
        <f t="shared" si="3"/>
        <v>0</v>
      </c>
      <c r="BS9" s="73">
        <f t="shared" si="3"/>
        <v>0</v>
      </c>
    </row>
    <row r="10" spans="1:71" x14ac:dyDescent="0.2">
      <c r="C10" s="163" t="s">
        <v>143</v>
      </c>
      <c r="D10" s="163" t="s">
        <v>144</v>
      </c>
      <c r="E10" s="163" t="s">
        <v>145</v>
      </c>
      <c r="F10" s="163" t="s">
        <v>146</v>
      </c>
      <c r="G10" s="163" t="s">
        <v>147</v>
      </c>
      <c r="H10" s="163" t="s">
        <v>148</v>
      </c>
      <c r="I10" s="163" t="s">
        <v>149</v>
      </c>
      <c r="J10" s="163" t="s">
        <v>150</v>
      </c>
      <c r="K10" s="163" t="s">
        <v>151</v>
      </c>
      <c r="L10" s="163" t="s">
        <v>152</v>
      </c>
      <c r="M10" s="163" t="s">
        <v>153</v>
      </c>
      <c r="N10" s="163" t="s">
        <v>154</v>
      </c>
      <c r="O10" s="250" t="s">
        <v>282</v>
      </c>
      <c r="BG10" s="1" t="s">
        <v>12</v>
      </c>
      <c r="BH10" s="1">
        <f>ROUND(BH8*BH9,2)</f>
        <v>0</v>
      </c>
      <c r="BI10" s="1">
        <f>ROUND(BI8*BI9,2)</f>
        <v>0</v>
      </c>
      <c r="BJ10" s="1">
        <f t="shared" ref="BJ10:BS10" si="4">ROUND(BJ8*BJ9,2)</f>
        <v>0</v>
      </c>
      <c r="BK10" s="1">
        <f t="shared" si="4"/>
        <v>0</v>
      </c>
      <c r="BL10" s="1">
        <f t="shared" si="4"/>
        <v>0</v>
      </c>
      <c r="BM10" s="1">
        <f t="shared" si="4"/>
        <v>0</v>
      </c>
      <c r="BN10" s="1">
        <f t="shared" si="4"/>
        <v>0</v>
      </c>
      <c r="BO10" s="1">
        <f t="shared" si="4"/>
        <v>0</v>
      </c>
      <c r="BP10" s="1">
        <f t="shared" si="4"/>
        <v>0</v>
      </c>
      <c r="BQ10" s="1">
        <f t="shared" si="4"/>
        <v>0</v>
      </c>
      <c r="BR10" s="1">
        <f t="shared" si="4"/>
        <v>0</v>
      </c>
      <c r="BS10" s="1">
        <f t="shared" si="4"/>
        <v>0</v>
      </c>
    </row>
    <row r="11" spans="1:71" x14ac:dyDescent="0.2">
      <c r="A11" s="244" t="s">
        <v>281</v>
      </c>
      <c r="BG11" s="1" t="s">
        <v>13</v>
      </c>
      <c r="BH11" s="3">
        <f t="shared" ref="BH11:BS11" si="5">IF(BH6=0,0,VLOOKUP(BH$6,Mensual,3))</f>
        <v>0</v>
      </c>
      <c r="BI11" s="3">
        <f t="shared" si="5"/>
        <v>0</v>
      </c>
      <c r="BJ11" s="3">
        <f t="shared" si="5"/>
        <v>0</v>
      </c>
      <c r="BK11" s="3">
        <f t="shared" si="5"/>
        <v>0</v>
      </c>
      <c r="BL11" s="3">
        <f t="shared" si="5"/>
        <v>0</v>
      </c>
      <c r="BM11" s="3">
        <f t="shared" si="5"/>
        <v>0</v>
      </c>
      <c r="BN11" s="3">
        <f t="shared" si="5"/>
        <v>0</v>
      </c>
      <c r="BO11" s="3">
        <f t="shared" si="5"/>
        <v>0</v>
      </c>
      <c r="BP11" s="3">
        <f t="shared" si="5"/>
        <v>0</v>
      </c>
      <c r="BQ11" s="3">
        <f t="shared" si="5"/>
        <v>0</v>
      </c>
      <c r="BR11" s="3">
        <f t="shared" si="5"/>
        <v>0</v>
      </c>
      <c r="BS11" s="3">
        <f t="shared" si="5"/>
        <v>0</v>
      </c>
    </row>
    <row r="12" spans="1:71" x14ac:dyDescent="0.2">
      <c r="A12" s="32" t="s">
        <v>95</v>
      </c>
      <c r="B12" s="204" t="s">
        <v>47</v>
      </c>
      <c r="C12" s="254">
        <v>0</v>
      </c>
      <c r="D12" s="254">
        <v>0</v>
      </c>
      <c r="E12" s="254">
        <v>0</v>
      </c>
      <c r="F12" s="254">
        <v>0</v>
      </c>
      <c r="G12" s="254">
        <v>0</v>
      </c>
      <c r="H12" s="254">
        <v>0</v>
      </c>
      <c r="I12" s="254">
        <v>0</v>
      </c>
      <c r="J12" s="254">
        <v>0</v>
      </c>
      <c r="K12" s="254">
        <v>0</v>
      </c>
      <c r="L12" s="254">
        <v>0</v>
      </c>
      <c r="M12" s="254">
        <v>0</v>
      </c>
      <c r="N12" s="254">
        <v>0</v>
      </c>
      <c r="O12" s="255">
        <f>SUM(C12:N12)</f>
        <v>0</v>
      </c>
      <c r="BG12" s="1" t="s">
        <v>14</v>
      </c>
      <c r="BH12" s="248">
        <f>IF(BH6=0,0,BH10+BH11)</f>
        <v>0</v>
      </c>
      <c r="BI12" s="248">
        <f>IF(BI6=0,0,BI10+BI11)</f>
        <v>0</v>
      </c>
      <c r="BJ12" s="248">
        <f>IF(BJ6=0,0,BJ10+BJ11)</f>
        <v>0</v>
      </c>
      <c r="BK12" s="248">
        <f t="shared" ref="BK12:BS12" si="6">IF(BK6=0,0,BK10+BK11)</f>
        <v>0</v>
      </c>
      <c r="BL12" s="248">
        <f t="shared" si="6"/>
        <v>0</v>
      </c>
      <c r="BM12" s="248">
        <f t="shared" si="6"/>
        <v>0</v>
      </c>
      <c r="BN12" s="248">
        <f t="shared" si="6"/>
        <v>0</v>
      </c>
      <c r="BO12" s="248">
        <f t="shared" si="6"/>
        <v>0</v>
      </c>
      <c r="BP12" s="248">
        <f t="shared" si="6"/>
        <v>0</v>
      </c>
      <c r="BQ12" s="248">
        <f t="shared" si="6"/>
        <v>0</v>
      </c>
      <c r="BR12" s="248">
        <f t="shared" si="6"/>
        <v>0</v>
      </c>
      <c r="BS12" s="248">
        <f t="shared" si="6"/>
        <v>0</v>
      </c>
    </row>
    <row r="13" spans="1:71" x14ac:dyDescent="0.2">
      <c r="A13" s="32" t="s">
        <v>501</v>
      </c>
      <c r="C13" s="126">
        <f>ROUND(C12*0.35,2)</f>
        <v>0</v>
      </c>
      <c r="D13" s="126">
        <f t="shared" ref="D13:N13" si="7">ROUND(D12*0.35,2)</f>
        <v>0</v>
      </c>
      <c r="E13" s="126">
        <f t="shared" si="7"/>
        <v>0</v>
      </c>
      <c r="F13" s="126">
        <f t="shared" si="7"/>
        <v>0</v>
      </c>
      <c r="G13" s="126">
        <f t="shared" si="7"/>
        <v>0</v>
      </c>
      <c r="H13" s="126">
        <f t="shared" si="7"/>
        <v>0</v>
      </c>
      <c r="I13" s="126">
        <f t="shared" si="7"/>
        <v>0</v>
      </c>
      <c r="J13" s="126">
        <f t="shared" si="7"/>
        <v>0</v>
      </c>
      <c r="K13" s="126">
        <f t="shared" si="7"/>
        <v>0</v>
      </c>
      <c r="L13" s="126">
        <f t="shared" si="7"/>
        <v>0</v>
      </c>
      <c r="M13" s="126">
        <f t="shared" si="7"/>
        <v>0</v>
      </c>
      <c r="N13" s="126">
        <f t="shared" si="7"/>
        <v>0</v>
      </c>
      <c r="O13" s="104">
        <f>SUM(C13:N13)</f>
        <v>0</v>
      </c>
    </row>
    <row r="14" spans="1:71" x14ac:dyDescent="0.2">
      <c r="A14" s="1" t="s">
        <v>124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24"/>
    </row>
    <row r="15" spans="1:71" x14ac:dyDescent="0.2">
      <c r="A15" s="1" t="s">
        <v>188</v>
      </c>
      <c r="B15" s="204" t="s">
        <v>47</v>
      </c>
      <c r="C15" s="77">
        <v>0</v>
      </c>
      <c r="D15" s="77">
        <v>0</v>
      </c>
      <c r="E15" s="77">
        <v>0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  <c r="M15" s="77">
        <v>0</v>
      </c>
      <c r="N15" s="77">
        <v>0</v>
      </c>
      <c r="O15" s="104">
        <f>SUM(C15:N15)</f>
        <v>0</v>
      </c>
    </row>
    <row r="16" spans="1:71" x14ac:dyDescent="0.2">
      <c r="A16" s="1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224"/>
    </row>
    <row r="17" spans="1:17" x14ac:dyDescent="0.2">
      <c r="A17" s="32" t="s">
        <v>72</v>
      </c>
      <c r="C17" s="126">
        <f>C12-C13-C15</f>
        <v>0</v>
      </c>
      <c r="D17" s="126">
        <f t="shared" ref="D17:N17" si="8">D12-D13-D15</f>
        <v>0</v>
      </c>
      <c r="E17" s="126">
        <f t="shared" si="8"/>
        <v>0</v>
      </c>
      <c r="F17" s="126">
        <f t="shared" si="8"/>
        <v>0</v>
      </c>
      <c r="G17" s="126">
        <f t="shared" si="8"/>
        <v>0</v>
      </c>
      <c r="H17" s="126">
        <f t="shared" si="8"/>
        <v>0</v>
      </c>
      <c r="I17" s="126">
        <f t="shared" si="8"/>
        <v>0</v>
      </c>
      <c r="J17" s="126">
        <f t="shared" si="8"/>
        <v>0</v>
      </c>
      <c r="K17" s="126">
        <f t="shared" si="8"/>
        <v>0</v>
      </c>
      <c r="L17" s="126">
        <f t="shared" si="8"/>
        <v>0</v>
      </c>
      <c r="M17" s="126">
        <f t="shared" si="8"/>
        <v>0</v>
      </c>
      <c r="N17" s="126">
        <f t="shared" si="8"/>
        <v>0</v>
      </c>
      <c r="O17" s="104">
        <f>SUM(C17:N17)</f>
        <v>0</v>
      </c>
    </row>
    <row r="18" spans="1:17" x14ac:dyDescent="0.2">
      <c r="A18" s="32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224"/>
    </row>
    <row r="19" spans="1:17" x14ac:dyDescent="0.2">
      <c r="A19" s="66" t="s">
        <v>73</v>
      </c>
      <c r="C19" s="104">
        <f>IF(C12=0,0,BH12)</f>
        <v>0</v>
      </c>
      <c r="D19" s="104">
        <f t="shared" ref="D19:N19" si="9">IF(D12=0,0,BI12)</f>
        <v>0</v>
      </c>
      <c r="E19" s="104">
        <f t="shared" si="9"/>
        <v>0</v>
      </c>
      <c r="F19" s="104">
        <f t="shared" si="9"/>
        <v>0</v>
      </c>
      <c r="G19" s="104">
        <f t="shared" si="9"/>
        <v>0</v>
      </c>
      <c r="H19" s="104">
        <f t="shared" si="9"/>
        <v>0</v>
      </c>
      <c r="I19" s="104">
        <f t="shared" si="9"/>
        <v>0</v>
      </c>
      <c r="J19" s="104">
        <f t="shared" si="9"/>
        <v>0</v>
      </c>
      <c r="K19" s="104">
        <f t="shared" si="9"/>
        <v>0</v>
      </c>
      <c r="L19" s="104">
        <f t="shared" si="9"/>
        <v>0</v>
      </c>
      <c r="M19" s="104">
        <f t="shared" si="9"/>
        <v>0</v>
      </c>
      <c r="N19" s="104">
        <f t="shared" si="9"/>
        <v>0</v>
      </c>
      <c r="O19" s="104">
        <f>SUM(C19:N19)</f>
        <v>0</v>
      </c>
    </row>
    <row r="20" spans="1:17" x14ac:dyDescent="0.2">
      <c r="A20" s="32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224"/>
    </row>
    <row r="21" spans="1:17" x14ac:dyDescent="0.2">
      <c r="A21" s="32" t="s">
        <v>289</v>
      </c>
      <c r="B21" s="204" t="s">
        <v>47</v>
      </c>
      <c r="C21" s="77">
        <v>0</v>
      </c>
      <c r="D21" s="77">
        <v>0</v>
      </c>
      <c r="E21" s="77">
        <v>0</v>
      </c>
      <c r="F21" s="77">
        <v>0</v>
      </c>
      <c r="G21" s="77">
        <v>0</v>
      </c>
      <c r="H21" s="77">
        <v>0</v>
      </c>
      <c r="I21" s="77">
        <v>0</v>
      </c>
      <c r="J21" s="77">
        <v>0</v>
      </c>
      <c r="K21" s="77">
        <v>0</v>
      </c>
      <c r="L21" s="77">
        <v>0</v>
      </c>
      <c r="M21" s="77">
        <v>0</v>
      </c>
      <c r="N21" s="77">
        <v>0</v>
      </c>
      <c r="O21" s="104">
        <f>SUM(C21:N21)</f>
        <v>0</v>
      </c>
    </row>
    <row r="22" spans="1:17" x14ac:dyDescent="0.2">
      <c r="A22" s="32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224"/>
    </row>
    <row r="23" spans="1:17" x14ac:dyDescent="0.2">
      <c r="A23" s="66" t="s">
        <v>74</v>
      </c>
      <c r="C23" s="251">
        <f>IF(C19&gt;C21,C19-C21,0)</f>
        <v>0</v>
      </c>
      <c r="D23" s="251">
        <f t="shared" ref="D23:N23" si="10">IF(D19&gt;D21,D19-D21,0)</f>
        <v>0</v>
      </c>
      <c r="E23" s="251">
        <f t="shared" si="10"/>
        <v>0</v>
      </c>
      <c r="F23" s="251">
        <f t="shared" si="10"/>
        <v>0</v>
      </c>
      <c r="G23" s="251">
        <f t="shared" si="10"/>
        <v>0</v>
      </c>
      <c r="H23" s="251">
        <f t="shared" si="10"/>
        <v>0</v>
      </c>
      <c r="I23" s="251">
        <f t="shared" si="10"/>
        <v>0</v>
      </c>
      <c r="J23" s="251">
        <f t="shared" si="10"/>
        <v>0</v>
      </c>
      <c r="K23" s="251">
        <f t="shared" si="10"/>
        <v>0</v>
      </c>
      <c r="L23" s="251">
        <f t="shared" si="10"/>
        <v>0</v>
      </c>
      <c r="M23" s="251">
        <f t="shared" si="10"/>
        <v>0</v>
      </c>
      <c r="N23" s="251">
        <f t="shared" si="10"/>
        <v>0</v>
      </c>
      <c r="O23" s="252">
        <f>SUM(C23:N23)</f>
        <v>0</v>
      </c>
    </row>
    <row r="24" spans="1:17" x14ac:dyDescent="0.2">
      <c r="A24" s="66" t="s">
        <v>75</v>
      </c>
      <c r="C24" s="251">
        <f>IF(C21&gt;C19,C21-C19,0)</f>
        <v>0</v>
      </c>
      <c r="D24" s="251">
        <f t="shared" ref="D24:N24" si="11">IF(D21&gt;D19,D21-D19,0)</f>
        <v>0</v>
      </c>
      <c r="E24" s="251">
        <f t="shared" si="11"/>
        <v>0</v>
      </c>
      <c r="F24" s="251">
        <f t="shared" si="11"/>
        <v>0</v>
      </c>
      <c r="G24" s="251">
        <f t="shared" si="11"/>
        <v>0</v>
      </c>
      <c r="H24" s="251">
        <f t="shared" si="11"/>
        <v>0</v>
      </c>
      <c r="I24" s="251">
        <f t="shared" si="11"/>
        <v>0</v>
      </c>
      <c r="J24" s="251">
        <f t="shared" si="11"/>
        <v>0</v>
      </c>
      <c r="K24" s="251">
        <f t="shared" si="11"/>
        <v>0</v>
      </c>
      <c r="L24" s="251">
        <f t="shared" si="11"/>
        <v>0</v>
      </c>
      <c r="M24" s="251">
        <f t="shared" si="11"/>
        <v>0</v>
      </c>
      <c r="N24" s="251">
        <f t="shared" si="11"/>
        <v>0</v>
      </c>
      <c r="O24" s="252">
        <f>SUM(C24:N24)</f>
        <v>0</v>
      </c>
    </row>
    <row r="25" spans="1:17" x14ac:dyDescent="0.2">
      <c r="C25" s="444">
        <f>IF(C21&gt;C19,C21,C19)</f>
        <v>0</v>
      </c>
      <c r="D25" s="444">
        <f>IF(D21&gt;D19,D21,D19)</f>
        <v>0</v>
      </c>
      <c r="E25" s="444">
        <f t="shared" ref="E25:N25" si="12">IF(E21&gt;E19,E21,E19)</f>
        <v>0</v>
      </c>
      <c r="F25" s="444">
        <f t="shared" si="12"/>
        <v>0</v>
      </c>
      <c r="G25" s="444">
        <f t="shared" si="12"/>
        <v>0</v>
      </c>
      <c r="H25" s="444">
        <f t="shared" si="12"/>
        <v>0</v>
      </c>
      <c r="I25" s="444">
        <f t="shared" si="12"/>
        <v>0</v>
      </c>
      <c r="J25" s="444">
        <f t="shared" si="12"/>
        <v>0</v>
      </c>
      <c r="K25" s="444">
        <f t="shared" si="12"/>
        <v>0</v>
      </c>
      <c r="L25" s="444">
        <f t="shared" si="12"/>
        <v>0</v>
      </c>
      <c r="M25" s="444">
        <f t="shared" si="12"/>
        <v>0</v>
      </c>
      <c r="N25" s="444">
        <f t="shared" si="12"/>
        <v>0</v>
      </c>
      <c r="O25" s="483"/>
      <c r="P25" s="253"/>
    </row>
    <row r="26" spans="1:17" x14ac:dyDescent="0.2">
      <c r="C26" s="484">
        <f>C25</f>
        <v>0</v>
      </c>
      <c r="D26" s="484">
        <f t="shared" ref="D26:N26" si="13">C26+D25</f>
        <v>0</v>
      </c>
      <c r="E26" s="484">
        <f t="shared" si="13"/>
        <v>0</v>
      </c>
      <c r="F26" s="484">
        <f t="shared" si="13"/>
        <v>0</v>
      </c>
      <c r="G26" s="484">
        <f t="shared" si="13"/>
        <v>0</v>
      </c>
      <c r="H26" s="484">
        <f t="shared" si="13"/>
        <v>0</v>
      </c>
      <c r="I26" s="484">
        <f t="shared" si="13"/>
        <v>0</v>
      </c>
      <c r="J26" s="484">
        <f t="shared" si="13"/>
        <v>0</v>
      </c>
      <c r="K26" s="484">
        <f t="shared" si="13"/>
        <v>0</v>
      </c>
      <c r="L26" s="484">
        <f t="shared" si="13"/>
        <v>0</v>
      </c>
      <c r="M26" s="484">
        <f t="shared" si="13"/>
        <v>0</v>
      </c>
      <c r="N26" s="484">
        <f t="shared" si="13"/>
        <v>0</v>
      </c>
      <c r="O26" s="483"/>
      <c r="P26" s="253"/>
    </row>
    <row r="27" spans="1:17" x14ac:dyDescent="0.2">
      <c r="A27" s="450"/>
      <c r="B27" s="395"/>
      <c r="C27" s="475"/>
      <c r="D27" s="475"/>
      <c r="E27" s="475"/>
      <c r="F27" s="475"/>
      <c r="G27" s="475"/>
      <c r="H27" s="475"/>
      <c r="I27" s="475"/>
      <c r="J27" s="475"/>
      <c r="K27" s="395"/>
      <c r="L27" s="395"/>
      <c r="M27" s="395"/>
      <c r="N27" s="395"/>
      <c r="O27" s="395"/>
      <c r="P27" s="395"/>
      <c r="Q27" s="395"/>
    </row>
    <row r="28" spans="1:17" x14ac:dyDescent="0.2">
      <c r="A28" s="395"/>
      <c r="B28" s="395"/>
      <c r="C28" s="475"/>
      <c r="D28" s="475"/>
      <c r="E28" s="475"/>
      <c r="F28" s="475"/>
      <c r="G28" s="475"/>
      <c r="H28" s="475"/>
      <c r="I28" s="475"/>
      <c r="J28" s="475"/>
      <c r="K28" s="395"/>
      <c r="L28" s="395"/>
      <c r="M28" s="395"/>
      <c r="N28" s="395"/>
      <c r="O28" s="395"/>
      <c r="P28" s="395"/>
      <c r="Q28" s="395"/>
    </row>
    <row r="29" spans="1:17" x14ac:dyDescent="0.2">
      <c r="A29" s="405"/>
      <c r="B29" s="395"/>
      <c r="C29" s="453"/>
      <c r="D29" s="453"/>
      <c r="E29" s="453"/>
      <c r="F29" s="453"/>
      <c r="G29" s="453"/>
      <c r="H29" s="453"/>
      <c r="I29" s="453"/>
      <c r="J29" s="453"/>
      <c r="K29" s="453"/>
      <c r="L29" s="453"/>
      <c r="M29" s="453"/>
      <c r="N29" s="453"/>
      <c r="O29" s="453"/>
      <c r="P29" s="395"/>
      <c r="Q29" s="395"/>
    </row>
    <row r="30" spans="1:17" x14ac:dyDescent="0.2">
      <c r="A30" s="451"/>
      <c r="B30" s="395"/>
      <c r="C30" s="395"/>
      <c r="D30" s="395"/>
      <c r="E30" s="395"/>
      <c r="F30" s="395"/>
      <c r="G30" s="395"/>
      <c r="H30" s="395"/>
      <c r="I30" s="395"/>
      <c r="J30" s="395"/>
      <c r="K30" s="395"/>
      <c r="L30" s="395"/>
      <c r="M30" s="395"/>
      <c r="N30" s="395"/>
      <c r="O30" s="395"/>
      <c r="P30" s="395"/>
      <c r="Q30" s="395"/>
    </row>
    <row r="31" spans="1:17" x14ac:dyDescent="0.2">
      <c r="A31" s="137"/>
      <c r="B31" s="395"/>
      <c r="C31" s="395"/>
      <c r="D31" s="395"/>
      <c r="E31" s="395"/>
      <c r="F31" s="395"/>
      <c r="G31" s="395"/>
      <c r="H31" s="395"/>
      <c r="I31" s="395"/>
      <c r="J31" s="395"/>
      <c r="K31" s="395"/>
      <c r="L31" s="395"/>
      <c r="M31" s="395"/>
      <c r="N31" s="395"/>
      <c r="O31" s="395"/>
      <c r="P31" s="395"/>
      <c r="Q31" s="395"/>
    </row>
    <row r="32" spans="1:17" x14ac:dyDescent="0.2">
      <c r="A32" s="137"/>
      <c r="B32" s="454"/>
      <c r="C32" s="245"/>
      <c r="D32" s="245"/>
      <c r="E32" s="245"/>
      <c r="F32" s="245"/>
      <c r="G32" s="245"/>
      <c r="H32" s="245"/>
      <c r="I32" s="245"/>
      <c r="J32" s="245"/>
      <c r="K32" s="245"/>
      <c r="L32" s="245"/>
      <c r="M32" s="245"/>
      <c r="N32" s="245"/>
      <c r="O32" s="452"/>
      <c r="P32" s="395"/>
      <c r="Q32" s="395"/>
    </row>
    <row r="33" spans="1:17" x14ac:dyDescent="0.2">
      <c r="A33" s="395"/>
      <c r="B33" s="395"/>
      <c r="C33" s="395"/>
      <c r="D33" s="395"/>
      <c r="E33" s="395"/>
      <c r="F33" s="395"/>
      <c r="G33" s="395"/>
      <c r="H33" s="395"/>
      <c r="I33" s="395"/>
      <c r="J33" s="395"/>
      <c r="K33" s="395"/>
      <c r="L33" s="395"/>
      <c r="M33" s="395"/>
      <c r="N33" s="395"/>
      <c r="O33" s="395"/>
      <c r="P33" s="395"/>
      <c r="Q33" s="395"/>
    </row>
    <row r="34" spans="1:17" x14ac:dyDescent="0.2">
      <c r="A34" s="455"/>
      <c r="B34" s="395"/>
      <c r="C34" s="456"/>
      <c r="D34" s="456"/>
      <c r="E34" s="456"/>
      <c r="F34" s="456"/>
      <c r="G34" s="456"/>
      <c r="H34" s="456"/>
      <c r="I34" s="456"/>
      <c r="J34" s="456"/>
      <c r="K34" s="456"/>
      <c r="L34" s="456"/>
      <c r="M34" s="456"/>
      <c r="N34" s="456"/>
      <c r="O34" s="452"/>
      <c r="P34" s="395"/>
      <c r="Q34" s="395"/>
    </row>
    <row r="35" spans="1:17" x14ac:dyDescent="0.2">
      <c r="A35" s="395"/>
      <c r="B35" s="395"/>
      <c r="C35" s="395"/>
      <c r="D35" s="395"/>
      <c r="E35" s="395"/>
      <c r="F35" s="395"/>
      <c r="G35" s="395"/>
      <c r="H35" s="395"/>
      <c r="I35" s="395"/>
      <c r="J35" s="395"/>
      <c r="K35" s="395"/>
      <c r="L35" s="395"/>
      <c r="M35" s="395"/>
      <c r="N35" s="395"/>
      <c r="O35" s="395"/>
      <c r="P35" s="395"/>
      <c r="Q35" s="395"/>
    </row>
    <row r="36" spans="1:17" x14ac:dyDescent="0.2">
      <c r="A36" s="405"/>
      <c r="B36" s="395"/>
      <c r="C36" s="453"/>
      <c r="D36" s="453"/>
      <c r="E36" s="453"/>
      <c r="F36" s="453"/>
      <c r="G36" s="453"/>
      <c r="H36" s="453"/>
      <c r="I36" s="453"/>
      <c r="J36" s="453"/>
      <c r="K36" s="453"/>
      <c r="L36" s="453"/>
      <c r="M36" s="453"/>
      <c r="N36" s="453"/>
      <c r="O36" s="453"/>
      <c r="P36" s="395"/>
      <c r="Q36" s="395"/>
    </row>
    <row r="37" spans="1:17" x14ac:dyDescent="0.2">
      <c r="A37" s="137"/>
      <c r="B37" s="454"/>
      <c r="C37" s="457"/>
      <c r="D37" s="457"/>
      <c r="E37" s="457"/>
      <c r="F37" s="457"/>
      <c r="G37" s="457"/>
      <c r="H37" s="457"/>
      <c r="I37" s="457"/>
      <c r="J37" s="457"/>
      <c r="K37" s="457"/>
      <c r="L37" s="457"/>
      <c r="M37" s="457"/>
      <c r="N37" s="457"/>
      <c r="O37" s="452"/>
      <c r="P37" s="395"/>
      <c r="Q37" s="395"/>
    </row>
    <row r="38" spans="1:17" x14ac:dyDescent="0.2">
      <c r="A38" s="137"/>
      <c r="B38" s="454"/>
      <c r="C38" s="245"/>
      <c r="D38" s="245"/>
      <c r="E38" s="245"/>
      <c r="F38" s="245"/>
      <c r="G38" s="245"/>
      <c r="H38" s="245"/>
      <c r="I38" s="245"/>
      <c r="J38" s="245"/>
      <c r="K38" s="245"/>
      <c r="L38" s="245"/>
      <c r="M38" s="245"/>
      <c r="N38" s="245"/>
      <c r="O38" s="452"/>
      <c r="P38" s="395"/>
      <c r="Q38" s="395"/>
    </row>
    <row r="39" spans="1:17" x14ac:dyDescent="0.2">
      <c r="A39" s="137"/>
      <c r="B39" s="454"/>
      <c r="C39" s="245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452"/>
      <c r="P39" s="395"/>
      <c r="Q39" s="395"/>
    </row>
    <row r="40" spans="1:17" x14ac:dyDescent="0.2">
      <c r="A40" s="137"/>
      <c r="B40" s="454"/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452"/>
      <c r="P40" s="395"/>
      <c r="Q40" s="395"/>
    </row>
    <row r="41" spans="1:17" x14ac:dyDescent="0.2">
      <c r="A41" s="137"/>
      <c r="B41" s="454"/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452"/>
      <c r="P41" s="395"/>
      <c r="Q41" s="395"/>
    </row>
    <row r="42" spans="1:17" x14ac:dyDescent="0.2">
      <c r="A42" s="137"/>
      <c r="B42" s="454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452"/>
      <c r="P42" s="395"/>
      <c r="Q42" s="395"/>
    </row>
    <row r="43" spans="1:17" x14ac:dyDescent="0.2">
      <c r="A43" s="137"/>
      <c r="B43" s="454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452"/>
      <c r="P43" s="395"/>
      <c r="Q43" s="395"/>
    </row>
    <row r="44" spans="1:17" x14ac:dyDescent="0.2">
      <c r="A44" s="135"/>
      <c r="B44" s="454"/>
      <c r="C44" s="245"/>
      <c r="D44" s="245"/>
      <c r="E44" s="245"/>
      <c r="F44" s="245"/>
      <c r="G44" s="245"/>
      <c r="H44" s="245"/>
      <c r="I44" s="245"/>
      <c r="J44" s="245"/>
      <c r="K44" s="245"/>
      <c r="L44" s="245"/>
      <c r="M44" s="245"/>
      <c r="N44" s="245"/>
      <c r="O44" s="452"/>
      <c r="P44" s="395"/>
      <c r="Q44" s="395"/>
    </row>
    <row r="45" spans="1:17" x14ac:dyDescent="0.2">
      <c r="A45" s="137"/>
      <c r="B45" s="454"/>
      <c r="C45" s="245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452"/>
      <c r="P45" s="395"/>
      <c r="Q45" s="395"/>
    </row>
    <row r="46" spans="1:17" x14ac:dyDescent="0.2">
      <c r="A46" s="148"/>
      <c r="B46" s="454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452"/>
      <c r="P46" s="395"/>
      <c r="Q46" s="395"/>
    </row>
    <row r="47" spans="1:17" x14ac:dyDescent="0.2">
      <c r="A47" s="148"/>
      <c r="B47" s="454"/>
      <c r="C47" s="245"/>
      <c r="D47" s="245"/>
      <c r="E47" s="245"/>
      <c r="F47" s="245"/>
      <c r="G47" s="245"/>
      <c r="H47" s="245"/>
      <c r="I47" s="245"/>
      <c r="J47" s="245"/>
      <c r="K47" s="245"/>
      <c r="L47" s="245"/>
      <c r="M47" s="245"/>
      <c r="N47" s="245"/>
      <c r="O47" s="452"/>
      <c r="P47" s="395"/>
      <c r="Q47" s="395"/>
    </row>
    <row r="48" spans="1:17" x14ac:dyDescent="0.2">
      <c r="A48" s="148"/>
      <c r="B48" s="454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245"/>
      <c r="O48" s="452"/>
      <c r="P48" s="395"/>
      <c r="Q48" s="395"/>
    </row>
    <row r="49" spans="1:17" x14ac:dyDescent="0.2">
      <c r="A49" s="148"/>
      <c r="B49" s="454"/>
      <c r="C49" s="245"/>
      <c r="D49" s="245"/>
      <c r="E49" s="245"/>
      <c r="F49" s="245"/>
      <c r="G49" s="245"/>
      <c r="H49" s="245"/>
      <c r="I49" s="245"/>
      <c r="J49" s="245"/>
      <c r="K49" s="245"/>
      <c r="L49" s="245"/>
      <c r="M49" s="245"/>
      <c r="N49" s="245"/>
      <c r="O49" s="452"/>
      <c r="P49" s="395"/>
      <c r="Q49" s="395"/>
    </row>
    <row r="50" spans="1:17" x14ac:dyDescent="0.2">
      <c r="A50" s="395"/>
      <c r="B50" s="395"/>
      <c r="C50" s="395"/>
      <c r="D50" s="395"/>
      <c r="E50" s="395"/>
      <c r="F50" s="395"/>
      <c r="G50" s="395"/>
      <c r="H50" s="395"/>
      <c r="I50" s="395"/>
      <c r="J50" s="395"/>
      <c r="K50" s="395"/>
      <c r="L50" s="395"/>
      <c r="M50" s="395"/>
      <c r="N50" s="395"/>
      <c r="O50" s="395"/>
      <c r="P50" s="395"/>
      <c r="Q50" s="395"/>
    </row>
    <row r="51" spans="1:17" x14ac:dyDescent="0.2">
      <c r="A51" s="148"/>
      <c r="B51" s="395"/>
      <c r="C51" s="456"/>
      <c r="D51" s="456"/>
      <c r="E51" s="456"/>
      <c r="F51" s="456"/>
      <c r="G51" s="456"/>
      <c r="H51" s="456"/>
      <c r="I51" s="456"/>
      <c r="J51" s="456"/>
      <c r="K51" s="456"/>
      <c r="L51" s="456"/>
      <c r="M51" s="456"/>
      <c r="N51" s="456"/>
      <c r="O51" s="452"/>
      <c r="P51" s="395"/>
      <c r="Q51" s="395"/>
    </row>
    <row r="52" spans="1:17" x14ac:dyDescent="0.2">
      <c r="A52" s="148"/>
      <c r="B52" s="395"/>
      <c r="C52" s="456"/>
      <c r="D52" s="456"/>
      <c r="E52" s="456"/>
      <c r="F52" s="456"/>
      <c r="G52" s="456"/>
      <c r="H52" s="456"/>
      <c r="I52" s="456"/>
      <c r="J52" s="456"/>
      <c r="K52" s="456"/>
      <c r="L52" s="456"/>
      <c r="M52" s="456"/>
      <c r="N52" s="456"/>
      <c r="O52" s="452"/>
      <c r="P52" s="395"/>
      <c r="Q52" s="395"/>
    </row>
    <row r="53" spans="1:17" x14ac:dyDescent="0.2">
      <c r="A53" s="148"/>
      <c r="B53" s="395"/>
      <c r="C53" s="395"/>
      <c r="D53" s="395"/>
      <c r="E53" s="395"/>
      <c r="F53" s="395"/>
      <c r="G53" s="395"/>
      <c r="H53" s="395"/>
      <c r="I53" s="395"/>
      <c r="J53" s="395"/>
      <c r="K53" s="395"/>
      <c r="L53" s="395"/>
      <c r="M53" s="395"/>
      <c r="N53" s="395"/>
      <c r="O53" s="395"/>
      <c r="P53" s="395"/>
      <c r="Q53" s="395"/>
    </row>
    <row r="54" spans="1:17" x14ac:dyDescent="0.2">
      <c r="A54" s="148"/>
      <c r="B54" s="395"/>
      <c r="C54" s="456"/>
      <c r="D54" s="456"/>
      <c r="E54" s="456"/>
      <c r="F54" s="456"/>
      <c r="G54" s="456"/>
      <c r="H54" s="456"/>
      <c r="I54" s="456"/>
      <c r="J54" s="456"/>
      <c r="K54" s="456"/>
      <c r="L54" s="456"/>
      <c r="M54" s="456"/>
      <c r="N54" s="456"/>
      <c r="O54" s="395"/>
      <c r="P54" s="395"/>
      <c r="Q54" s="395"/>
    </row>
    <row r="55" spans="1:17" x14ac:dyDescent="0.2">
      <c r="A55" s="148"/>
      <c r="B55" s="395"/>
      <c r="C55" s="458"/>
      <c r="D55" s="458"/>
      <c r="E55" s="458"/>
      <c r="F55" s="458"/>
      <c r="G55" s="458"/>
      <c r="H55" s="458"/>
      <c r="I55" s="458"/>
      <c r="J55" s="458"/>
      <c r="K55" s="458"/>
      <c r="L55" s="458"/>
      <c r="M55" s="458"/>
      <c r="N55" s="458"/>
      <c r="O55" s="395"/>
      <c r="P55" s="395"/>
      <c r="Q55" s="395"/>
    </row>
    <row r="56" spans="1:17" x14ac:dyDescent="0.2">
      <c r="A56" s="148"/>
      <c r="B56" s="395"/>
      <c r="C56" s="452"/>
      <c r="D56" s="452"/>
      <c r="E56" s="452"/>
      <c r="F56" s="452"/>
      <c r="G56" s="452"/>
      <c r="H56" s="452"/>
      <c r="I56" s="452"/>
      <c r="J56" s="452"/>
      <c r="K56" s="452"/>
      <c r="L56" s="452"/>
      <c r="M56" s="452"/>
      <c r="N56" s="452"/>
      <c r="O56" s="395"/>
      <c r="P56" s="395"/>
      <c r="Q56" s="395"/>
    </row>
    <row r="57" spans="1:17" x14ac:dyDescent="0.2">
      <c r="A57" s="245"/>
      <c r="B57" s="395"/>
      <c r="C57" s="395"/>
      <c r="D57" s="395"/>
      <c r="E57" s="395"/>
      <c r="F57" s="395"/>
      <c r="G57" s="395"/>
      <c r="H57" s="395"/>
      <c r="I57" s="395"/>
      <c r="J57" s="395"/>
      <c r="K57" s="395"/>
      <c r="L57" s="395"/>
      <c r="M57" s="395"/>
      <c r="N57" s="395"/>
      <c r="O57" s="395"/>
      <c r="P57" s="395"/>
      <c r="Q57" s="395"/>
    </row>
    <row r="58" spans="1:17" x14ac:dyDescent="0.2">
      <c r="A58" s="148"/>
      <c r="B58" s="454"/>
      <c r="C58" s="245"/>
      <c r="D58" s="245"/>
      <c r="E58" s="245"/>
      <c r="F58" s="245"/>
      <c r="G58" s="245"/>
      <c r="H58" s="245"/>
      <c r="I58" s="245"/>
      <c r="J58" s="245"/>
      <c r="K58" s="245"/>
      <c r="L58" s="245"/>
      <c r="M58" s="245"/>
      <c r="N58" s="245"/>
      <c r="O58" s="452"/>
      <c r="P58" s="395"/>
      <c r="Q58" s="395"/>
    </row>
    <row r="59" spans="1:17" x14ac:dyDescent="0.2">
      <c r="A59" s="148"/>
      <c r="B59" s="454"/>
      <c r="C59" s="452"/>
      <c r="D59" s="452"/>
      <c r="E59" s="452"/>
      <c r="F59" s="452"/>
      <c r="G59" s="452"/>
      <c r="H59" s="452"/>
      <c r="I59" s="452"/>
      <c r="J59" s="452"/>
      <c r="K59" s="452"/>
      <c r="L59" s="452"/>
      <c r="M59" s="452"/>
      <c r="N59" s="452"/>
      <c r="O59" s="395"/>
      <c r="P59" s="395"/>
      <c r="Q59" s="395"/>
    </row>
    <row r="60" spans="1:17" x14ac:dyDescent="0.2">
      <c r="A60" s="395"/>
      <c r="B60" s="395"/>
      <c r="C60" s="395"/>
      <c r="D60" s="395"/>
      <c r="E60" s="395"/>
      <c r="F60" s="395"/>
      <c r="G60" s="395"/>
      <c r="H60" s="395"/>
      <c r="I60" s="395"/>
      <c r="J60" s="395"/>
      <c r="K60" s="395"/>
      <c r="L60" s="395"/>
      <c r="M60" s="395"/>
      <c r="N60" s="395"/>
      <c r="O60" s="395"/>
      <c r="P60" s="395"/>
      <c r="Q60" s="395"/>
    </row>
    <row r="61" spans="1:17" x14ac:dyDescent="0.2">
      <c r="A61" s="148"/>
      <c r="B61" s="395"/>
      <c r="C61" s="452"/>
      <c r="D61" s="452"/>
      <c r="E61" s="452"/>
      <c r="F61" s="452"/>
      <c r="G61" s="452"/>
      <c r="H61" s="452"/>
      <c r="I61" s="452"/>
      <c r="J61" s="452"/>
      <c r="K61" s="452"/>
      <c r="L61" s="452"/>
      <c r="M61" s="452"/>
      <c r="N61" s="452"/>
      <c r="O61" s="395"/>
      <c r="P61" s="395"/>
      <c r="Q61" s="395"/>
    </row>
    <row r="62" spans="1:17" x14ac:dyDescent="0.2">
      <c r="A62" s="148"/>
      <c r="B62" s="395"/>
      <c r="C62" s="452"/>
      <c r="D62" s="452"/>
      <c r="E62" s="452"/>
      <c r="F62" s="452"/>
      <c r="G62" s="452"/>
      <c r="H62" s="452"/>
      <c r="I62" s="452"/>
      <c r="J62" s="452"/>
      <c r="K62" s="452"/>
      <c r="L62" s="452"/>
      <c r="M62" s="452"/>
      <c r="N62" s="452"/>
      <c r="O62" s="395"/>
      <c r="P62" s="395"/>
      <c r="Q62" s="395"/>
    </row>
    <row r="63" spans="1:17" x14ac:dyDescent="0.2">
      <c r="A63" s="148"/>
      <c r="B63" s="395"/>
      <c r="C63" s="451"/>
      <c r="D63" s="456"/>
      <c r="E63" s="456"/>
      <c r="F63" s="456"/>
      <c r="G63" s="456"/>
      <c r="H63" s="456"/>
      <c r="I63" s="456"/>
      <c r="J63" s="456"/>
      <c r="K63" s="456"/>
      <c r="L63" s="456"/>
      <c r="M63" s="456"/>
      <c r="N63" s="456"/>
      <c r="O63" s="395"/>
      <c r="P63" s="395"/>
      <c r="Q63" s="395"/>
    </row>
    <row r="64" spans="1:17" x14ac:dyDescent="0.2">
      <c r="A64" s="395"/>
      <c r="B64" s="395"/>
      <c r="C64" s="395"/>
      <c r="D64" s="395"/>
      <c r="E64" s="395"/>
      <c r="F64" s="395"/>
      <c r="G64" s="395"/>
      <c r="H64" s="395"/>
      <c r="I64" s="395"/>
      <c r="J64" s="395"/>
      <c r="K64" s="395"/>
      <c r="L64" s="395"/>
      <c r="M64" s="395"/>
      <c r="N64" s="395"/>
      <c r="O64" s="395"/>
      <c r="P64" s="395"/>
      <c r="Q64" s="395"/>
    </row>
    <row r="65" spans="1:17" x14ac:dyDescent="0.2">
      <c r="A65" s="395"/>
      <c r="B65" s="395"/>
      <c r="C65" s="459"/>
      <c r="D65" s="459"/>
      <c r="E65" s="459"/>
      <c r="F65" s="459"/>
      <c r="G65" s="459"/>
      <c r="H65" s="459"/>
      <c r="I65" s="459"/>
      <c r="J65" s="459"/>
      <c r="K65" s="459"/>
      <c r="L65" s="459"/>
      <c r="M65" s="459"/>
      <c r="N65" s="459"/>
      <c r="O65" s="452"/>
      <c r="P65" s="395"/>
      <c r="Q65" s="395"/>
    </row>
    <row r="66" spans="1:17" x14ac:dyDescent="0.2">
      <c r="A66" s="148"/>
      <c r="B66" s="395"/>
      <c r="C66" s="459"/>
      <c r="D66" s="459"/>
      <c r="E66" s="459"/>
      <c r="F66" s="459"/>
      <c r="G66" s="459"/>
      <c r="H66" s="459"/>
      <c r="I66" s="459"/>
      <c r="J66" s="459"/>
      <c r="K66" s="459"/>
      <c r="L66" s="459"/>
      <c r="M66" s="459"/>
      <c r="N66" s="459"/>
      <c r="O66" s="452"/>
      <c r="P66" s="395"/>
      <c r="Q66" s="395"/>
    </row>
    <row r="67" spans="1:17" x14ac:dyDescent="0.2">
      <c r="A67" s="395"/>
      <c r="B67" s="395"/>
      <c r="C67" s="460"/>
      <c r="D67" s="460"/>
      <c r="E67" s="460"/>
      <c r="F67" s="460"/>
      <c r="G67" s="460"/>
      <c r="H67" s="460"/>
      <c r="I67" s="460"/>
      <c r="J67" s="460"/>
      <c r="K67" s="460"/>
      <c r="L67" s="460"/>
      <c r="M67" s="460"/>
      <c r="N67" s="460"/>
      <c r="O67" s="395"/>
      <c r="P67" s="395"/>
      <c r="Q67" s="395"/>
    </row>
    <row r="68" spans="1:17" x14ac:dyDescent="0.2">
      <c r="A68" s="395"/>
      <c r="B68" s="395"/>
      <c r="C68" s="137"/>
      <c r="D68" s="137"/>
      <c r="E68" s="395"/>
      <c r="F68" s="395"/>
      <c r="G68" s="395"/>
      <c r="H68" s="395"/>
      <c r="I68" s="395"/>
      <c r="J68" s="395"/>
      <c r="K68" s="395"/>
      <c r="L68" s="395"/>
      <c r="M68" s="395"/>
      <c r="N68" s="395"/>
      <c r="O68" s="395"/>
      <c r="P68" s="395"/>
      <c r="Q68" s="395"/>
    </row>
    <row r="69" spans="1:17" x14ac:dyDescent="0.2">
      <c r="A69" s="395"/>
      <c r="B69" s="395"/>
      <c r="C69" s="395"/>
      <c r="D69" s="395"/>
      <c r="E69" s="395"/>
      <c r="F69" s="395"/>
      <c r="G69" s="395"/>
      <c r="H69" s="395"/>
      <c r="I69" s="395"/>
      <c r="J69" s="395"/>
      <c r="K69" s="395"/>
      <c r="L69" s="395"/>
      <c r="M69" s="395"/>
      <c r="N69" s="395"/>
      <c r="O69" s="395"/>
      <c r="P69" s="395"/>
      <c r="Q69" s="395"/>
    </row>
    <row r="70" spans="1:17" x14ac:dyDescent="0.2">
      <c r="A70" s="450"/>
      <c r="B70" s="395"/>
      <c r="C70" s="395"/>
      <c r="D70" s="395"/>
      <c r="E70" s="395"/>
      <c r="F70" s="395"/>
      <c r="G70" s="395"/>
      <c r="H70" s="395"/>
      <c r="I70" s="395"/>
      <c r="J70" s="395"/>
      <c r="K70" s="395"/>
      <c r="L70" s="395"/>
      <c r="M70" s="395"/>
      <c r="N70" s="395"/>
      <c r="O70" s="395"/>
      <c r="P70" s="395"/>
      <c r="Q70" s="395"/>
    </row>
    <row r="71" spans="1:17" x14ac:dyDescent="0.2">
      <c r="A71" s="395"/>
      <c r="B71" s="395"/>
      <c r="C71" s="395"/>
      <c r="D71" s="395"/>
      <c r="E71" s="395"/>
      <c r="F71" s="395"/>
      <c r="G71" s="395"/>
      <c r="H71" s="395"/>
      <c r="I71" s="395"/>
      <c r="J71" s="395"/>
      <c r="K71" s="395"/>
      <c r="L71" s="395"/>
      <c r="M71" s="395"/>
      <c r="N71" s="395"/>
      <c r="O71" s="395"/>
      <c r="P71" s="395"/>
      <c r="Q71" s="395"/>
    </row>
    <row r="72" spans="1:17" x14ac:dyDescent="0.2">
      <c r="A72" s="137"/>
      <c r="B72" s="454"/>
      <c r="C72" s="245"/>
      <c r="D72" s="245"/>
      <c r="E72" s="245"/>
      <c r="F72" s="245"/>
      <c r="G72" s="245"/>
      <c r="H72" s="245"/>
      <c r="I72" s="245"/>
      <c r="J72" s="245"/>
      <c r="K72" s="245"/>
      <c r="L72" s="245"/>
      <c r="M72" s="245"/>
      <c r="N72" s="245"/>
      <c r="O72" s="452"/>
      <c r="P72" s="395"/>
      <c r="Q72" s="395"/>
    </row>
    <row r="73" spans="1:17" x14ac:dyDescent="0.2">
      <c r="A73" s="137"/>
      <c r="B73" s="454"/>
      <c r="C73" s="245"/>
      <c r="D73" s="245"/>
      <c r="E73" s="245"/>
      <c r="F73" s="245"/>
      <c r="G73" s="245"/>
      <c r="H73" s="245"/>
      <c r="I73" s="245"/>
      <c r="J73" s="245"/>
      <c r="K73" s="245"/>
      <c r="L73" s="245"/>
      <c r="M73" s="245"/>
      <c r="N73" s="245"/>
      <c r="O73" s="452"/>
      <c r="P73" s="395"/>
      <c r="Q73" s="395"/>
    </row>
    <row r="74" spans="1:17" x14ac:dyDescent="0.2">
      <c r="A74" s="137"/>
      <c r="B74" s="454"/>
      <c r="C74" s="245"/>
      <c r="D74" s="245"/>
      <c r="E74" s="245"/>
      <c r="F74" s="245"/>
      <c r="G74" s="245"/>
      <c r="H74" s="245"/>
      <c r="I74" s="245"/>
      <c r="J74" s="245"/>
      <c r="K74" s="245"/>
      <c r="L74" s="245"/>
      <c r="M74" s="245"/>
      <c r="N74" s="245"/>
      <c r="O74" s="452"/>
      <c r="P74" s="395"/>
      <c r="Q74" s="395"/>
    </row>
    <row r="75" spans="1:17" x14ac:dyDescent="0.2">
      <c r="A75" s="137"/>
      <c r="B75" s="454"/>
      <c r="C75" s="245"/>
      <c r="D75" s="245"/>
      <c r="E75" s="245"/>
      <c r="F75" s="245"/>
      <c r="G75" s="245"/>
      <c r="H75" s="245"/>
      <c r="I75" s="245"/>
      <c r="J75" s="245"/>
      <c r="K75" s="245"/>
      <c r="L75" s="245"/>
      <c r="M75" s="245"/>
      <c r="N75" s="245"/>
      <c r="O75" s="452"/>
      <c r="P75" s="395"/>
      <c r="Q75" s="395"/>
    </row>
    <row r="76" spans="1:17" x14ac:dyDescent="0.2">
      <c r="A76" s="461"/>
      <c r="B76" s="395"/>
      <c r="C76" s="452"/>
      <c r="D76" s="452"/>
      <c r="E76" s="452"/>
      <c r="F76" s="452"/>
      <c r="G76" s="452"/>
      <c r="H76" s="452"/>
      <c r="I76" s="452"/>
      <c r="J76" s="452"/>
      <c r="K76" s="452"/>
      <c r="L76" s="452"/>
      <c r="M76" s="452"/>
      <c r="N76" s="452"/>
      <c r="O76" s="452"/>
      <c r="P76" s="395"/>
      <c r="Q76" s="395"/>
    </row>
    <row r="77" spans="1:17" x14ac:dyDescent="0.2">
      <c r="A77" s="137"/>
      <c r="B77" s="395"/>
      <c r="C77" s="395"/>
      <c r="D77" s="395"/>
      <c r="E77" s="395"/>
      <c r="F77" s="395"/>
      <c r="G77" s="395"/>
      <c r="H77" s="395"/>
      <c r="I77" s="395"/>
      <c r="J77" s="395"/>
      <c r="K77" s="395"/>
      <c r="L77" s="395"/>
      <c r="M77" s="395"/>
      <c r="N77" s="395"/>
      <c r="O77" s="395"/>
      <c r="P77" s="395"/>
      <c r="Q77" s="395"/>
    </row>
    <row r="78" spans="1:17" x14ac:dyDescent="0.2">
      <c r="A78" s="137"/>
      <c r="B78" s="395"/>
      <c r="C78" s="452"/>
      <c r="D78" s="452"/>
      <c r="E78" s="452"/>
      <c r="F78" s="452"/>
      <c r="G78" s="452"/>
      <c r="H78" s="452"/>
      <c r="I78" s="452"/>
      <c r="J78" s="452"/>
      <c r="K78" s="452"/>
      <c r="L78" s="452"/>
      <c r="M78" s="452"/>
      <c r="N78" s="452"/>
      <c r="O78" s="452"/>
      <c r="P78" s="395"/>
      <c r="Q78" s="395"/>
    </row>
    <row r="79" spans="1:17" x14ac:dyDescent="0.2">
      <c r="A79" s="137"/>
      <c r="B79" s="395"/>
      <c r="C79" s="395"/>
      <c r="D79" s="395"/>
      <c r="E79" s="395"/>
      <c r="F79" s="395"/>
      <c r="G79" s="395"/>
      <c r="H79" s="395"/>
      <c r="I79" s="395"/>
      <c r="J79" s="395"/>
      <c r="K79" s="395"/>
      <c r="L79" s="395"/>
      <c r="M79" s="395"/>
      <c r="N79" s="395"/>
      <c r="O79" s="395"/>
      <c r="P79" s="395"/>
      <c r="Q79" s="395"/>
    </row>
    <row r="80" spans="1:17" x14ac:dyDescent="0.2">
      <c r="A80" s="137"/>
      <c r="B80" s="454"/>
      <c r="C80" s="245"/>
      <c r="D80" s="245"/>
      <c r="E80" s="245"/>
      <c r="F80" s="245"/>
      <c r="G80" s="245"/>
      <c r="H80" s="245"/>
      <c r="I80" s="245"/>
      <c r="J80" s="245"/>
      <c r="K80" s="245"/>
      <c r="L80" s="245"/>
      <c r="M80" s="245"/>
      <c r="N80" s="245"/>
      <c r="O80" s="452"/>
      <c r="P80" s="395"/>
      <c r="Q80" s="395"/>
    </row>
    <row r="81" spans="1:17" x14ac:dyDescent="0.2">
      <c r="A81" s="137"/>
      <c r="B81" s="395"/>
      <c r="C81" s="462"/>
      <c r="D81" s="462"/>
      <c r="E81" s="462"/>
      <c r="F81" s="462"/>
      <c r="G81" s="462"/>
      <c r="H81" s="462"/>
      <c r="I81" s="462"/>
      <c r="J81" s="462"/>
      <c r="K81" s="462"/>
      <c r="L81" s="462"/>
      <c r="M81" s="462"/>
      <c r="N81" s="462"/>
      <c r="O81" s="395"/>
      <c r="P81" s="395"/>
      <c r="Q81" s="395"/>
    </row>
    <row r="82" spans="1:17" x14ac:dyDescent="0.2">
      <c r="A82" s="137"/>
      <c r="B82" s="454"/>
      <c r="C82" s="245"/>
      <c r="D82" s="245"/>
      <c r="E82" s="245"/>
      <c r="F82" s="245"/>
      <c r="G82" s="245"/>
      <c r="H82" s="245"/>
      <c r="I82" s="245"/>
      <c r="J82" s="245"/>
      <c r="K82" s="245"/>
      <c r="L82" s="245"/>
      <c r="M82" s="245"/>
      <c r="N82" s="245"/>
      <c r="O82" s="452"/>
      <c r="P82" s="395"/>
      <c r="Q82" s="395"/>
    </row>
    <row r="83" spans="1:17" x14ac:dyDescent="0.2">
      <c r="A83" s="137"/>
      <c r="B83" s="395"/>
      <c r="C83" s="395"/>
      <c r="D83" s="395"/>
      <c r="E83" s="395"/>
      <c r="F83" s="395"/>
      <c r="G83" s="395"/>
      <c r="H83" s="395"/>
      <c r="I83" s="395"/>
      <c r="J83" s="395"/>
      <c r="K83" s="395"/>
      <c r="L83" s="395"/>
      <c r="M83" s="395"/>
      <c r="N83" s="395"/>
      <c r="O83" s="395"/>
      <c r="P83" s="395"/>
      <c r="Q83" s="395"/>
    </row>
    <row r="84" spans="1:17" x14ac:dyDescent="0.2">
      <c r="A84" s="137"/>
      <c r="B84" s="395"/>
      <c r="C84" s="452"/>
      <c r="D84" s="452"/>
      <c r="E84" s="452"/>
      <c r="F84" s="452"/>
      <c r="G84" s="452"/>
      <c r="H84" s="452"/>
      <c r="I84" s="452"/>
      <c r="J84" s="452"/>
      <c r="K84" s="452"/>
      <c r="L84" s="452"/>
      <c r="M84" s="452"/>
      <c r="N84" s="452"/>
      <c r="O84" s="452"/>
      <c r="P84" s="395"/>
      <c r="Q84" s="395"/>
    </row>
    <row r="85" spans="1:17" x14ac:dyDescent="0.2">
      <c r="A85" s="137"/>
      <c r="B85" s="395"/>
      <c r="C85" s="452"/>
      <c r="D85" s="452"/>
      <c r="E85" s="452"/>
      <c r="F85" s="452"/>
      <c r="G85" s="452"/>
      <c r="H85" s="452"/>
      <c r="I85" s="452"/>
      <c r="J85" s="452"/>
      <c r="K85" s="452"/>
      <c r="L85" s="452"/>
      <c r="M85" s="452"/>
      <c r="N85" s="452"/>
      <c r="O85" s="452"/>
      <c r="P85" s="395"/>
      <c r="Q85" s="395"/>
    </row>
    <row r="86" spans="1:17" x14ac:dyDescent="0.2">
      <c r="A86" s="137"/>
      <c r="B86" s="395"/>
      <c r="C86" s="395"/>
      <c r="D86" s="395"/>
      <c r="E86" s="395"/>
      <c r="F86" s="395"/>
      <c r="G86" s="395"/>
      <c r="H86" s="395"/>
      <c r="I86" s="395"/>
      <c r="J86" s="395"/>
      <c r="K86" s="395"/>
      <c r="L86" s="395"/>
      <c r="M86" s="395"/>
      <c r="N86" s="395"/>
      <c r="O86" s="395"/>
      <c r="P86" s="395"/>
      <c r="Q86" s="395"/>
    </row>
    <row r="87" spans="1:17" x14ac:dyDescent="0.2">
      <c r="A87" s="137"/>
      <c r="B87" s="454"/>
      <c r="C87" s="245"/>
      <c r="D87" s="245"/>
      <c r="E87" s="245"/>
      <c r="F87" s="245"/>
      <c r="G87" s="245"/>
      <c r="H87" s="245"/>
      <c r="I87" s="245"/>
      <c r="J87" s="245"/>
      <c r="K87" s="245"/>
      <c r="L87" s="245"/>
      <c r="M87" s="245"/>
      <c r="N87" s="245"/>
      <c r="O87" s="452"/>
      <c r="P87" s="395"/>
      <c r="Q87" s="395"/>
    </row>
    <row r="88" spans="1:17" x14ac:dyDescent="0.2">
      <c r="A88" s="137"/>
      <c r="B88" s="395"/>
      <c r="C88" s="395"/>
      <c r="D88" s="395"/>
      <c r="E88" s="395"/>
      <c r="F88" s="395"/>
      <c r="G88" s="395"/>
      <c r="H88" s="395"/>
      <c r="I88" s="395"/>
      <c r="J88" s="395"/>
      <c r="K88" s="395"/>
      <c r="L88" s="395"/>
      <c r="M88" s="395"/>
      <c r="N88" s="395"/>
      <c r="O88" s="395"/>
      <c r="P88" s="395"/>
      <c r="Q88" s="395"/>
    </row>
    <row r="89" spans="1:17" x14ac:dyDescent="0.2">
      <c r="A89" s="137"/>
      <c r="B89" s="395"/>
      <c r="C89" s="459"/>
      <c r="D89" s="459"/>
      <c r="E89" s="459"/>
      <c r="F89" s="459"/>
      <c r="G89" s="459"/>
      <c r="H89" s="459"/>
      <c r="I89" s="459"/>
      <c r="J89" s="459"/>
      <c r="K89" s="459"/>
      <c r="L89" s="459"/>
      <c r="M89" s="459"/>
      <c r="N89" s="459"/>
      <c r="O89" s="459"/>
      <c r="P89" s="395"/>
      <c r="Q89" s="395"/>
    </row>
    <row r="90" spans="1:17" x14ac:dyDescent="0.2">
      <c r="A90" s="395"/>
      <c r="B90" s="395"/>
      <c r="C90" s="395"/>
      <c r="D90" s="395"/>
      <c r="E90" s="395"/>
      <c r="F90" s="395"/>
      <c r="G90" s="395"/>
      <c r="H90" s="395"/>
      <c r="I90" s="395"/>
      <c r="J90" s="395"/>
      <c r="K90" s="395"/>
      <c r="L90" s="395"/>
      <c r="M90" s="395"/>
      <c r="N90" s="395"/>
      <c r="O90" s="395"/>
      <c r="P90" s="395"/>
      <c r="Q90" s="395"/>
    </row>
    <row r="91" spans="1:17" x14ac:dyDescent="0.2">
      <c r="A91" s="395"/>
      <c r="B91" s="395"/>
      <c r="C91" s="395"/>
      <c r="D91" s="395"/>
      <c r="E91" s="395"/>
      <c r="F91" s="395"/>
      <c r="G91" s="395"/>
      <c r="H91" s="395"/>
      <c r="I91" s="395"/>
      <c r="J91" s="395"/>
      <c r="K91" s="395"/>
      <c r="L91" s="395"/>
      <c r="M91" s="395"/>
      <c r="N91" s="395"/>
      <c r="O91" s="395"/>
      <c r="P91" s="395"/>
      <c r="Q91" s="395"/>
    </row>
    <row r="92" spans="1:17" x14ac:dyDescent="0.2">
      <c r="A92" s="463"/>
      <c r="B92" s="395"/>
      <c r="C92" s="395"/>
      <c r="D92" s="395"/>
      <c r="E92" s="395"/>
      <c r="F92" s="395"/>
      <c r="G92" s="395"/>
      <c r="H92" s="395"/>
      <c r="I92" s="395"/>
      <c r="J92" s="395"/>
      <c r="K92" s="395"/>
      <c r="L92" s="395"/>
      <c r="M92" s="395"/>
      <c r="N92" s="395"/>
      <c r="O92" s="395"/>
      <c r="P92" s="395"/>
      <c r="Q92" s="395"/>
    </row>
    <row r="93" spans="1:17" x14ac:dyDescent="0.2">
      <c r="A93" s="395"/>
      <c r="B93" s="395"/>
      <c r="C93" s="395"/>
      <c r="D93" s="395"/>
      <c r="E93" s="395"/>
      <c r="F93" s="395"/>
      <c r="G93" s="395"/>
      <c r="H93" s="395"/>
      <c r="I93" s="395"/>
      <c r="J93" s="395"/>
      <c r="K93" s="395"/>
      <c r="L93" s="395"/>
      <c r="M93" s="395"/>
      <c r="N93" s="395"/>
      <c r="O93" s="395"/>
      <c r="P93" s="395"/>
      <c r="Q93" s="395"/>
    </row>
    <row r="94" spans="1:17" x14ac:dyDescent="0.2">
      <c r="A94" s="395"/>
      <c r="B94" s="395"/>
      <c r="C94" s="464"/>
      <c r="D94" s="464"/>
      <c r="E94" s="464"/>
      <c r="F94" s="464"/>
      <c r="G94" s="464"/>
      <c r="H94" s="464"/>
      <c r="I94" s="464"/>
      <c r="J94" s="464"/>
      <c r="K94" s="464"/>
      <c r="L94" s="464"/>
      <c r="M94" s="464"/>
      <c r="N94" s="464"/>
      <c r="O94" s="464"/>
      <c r="P94" s="395"/>
      <c r="Q94" s="395"/>
    </row>
    <row r="95" spans="1:17" x14ac:dyDescent="0.2">
      <c r="A95" s="395"/>
      <c r="B95" s="395"/>
      <c r="C95" s="464"/>
      <c r="D95" s="464"/>
      <c r="E95" s="464"/>
      <c r="F95" s="464"/>
      <c r="G95" s="464"/>
      <c r="H95" s="464"/>
      <c r="I95" s="464"/>
      <c r="J95" s="464"/>
      <c r="K95" s="464"/>
      <c r="L95" s="464"/>
      <c r="M95" s="464"/>
      <c r="N95" s="464"/>
      <c r="O95" s="464"/>
      <c r="P95" s="395"/>
      <c r="Q95" s="395"/>
    </row>
    <row r="96" spans="1:17" x14ac:dyDescent="0.2">
      <c r="A96" s="395"/>
      <c r="B96" s="395"/>
      <c r="C96" s="464"/>
      <c r="D96" s="464"/>
      <c r="E96" s="464"/>
      <c r="F96" s="464"/>
      <c r="G96" s="464"/>
      <c r="H96" s="464"/>
      <c r="I96" s="464"/>
      <c r="J96" s="464"/>
      <c r="K96" s="464"/>
      <c r="L96" s="464"/>
      <c r="M96" s="464"/>
      <c r="N96" s="464"/>
      <c r="O96" s="464"/>
      <c r="P96" s="395"/>
      <c r="Q96" s="395"/>
    </row>
    <row r="97" spans="1:17" x14ac:dyDescent="0.2">
      <c r="A97" s="455"/>
      <c r="B97" s="395"/>
      <c r="C97" s="465"/>
      <c r="D97" s="465"/>
      <c r="E97" s="465"/>
      <c r="F97" s="465"/>
      <c r="G97" s="465"/>
      <c r="H97" s="465"/>
      <c r="I97" s="465"/>
      <c r="J97" s="465"/>
      <c r="K97" s="465"/>
      <c r="L97" s="465"/>
      <c r="M97" s="465"/>
      <c r="N97" s="465"/>
      <c r="O97" s="465"/>
      <c r="P97" s="395"/>
      <c r="Q97" s="395"/>
    </row>
    <row r="98" spans="1:17" x14ac:dyDescent="0.2">
      <c r="A98" s="395"/>
      <c r="B98" s="395"/>
      <c r="C98" s="395"/>
      <c r="D98" s="395"/>
      <c r="E98" s="395"/>
      <c r="F98" s="395"/>
      <c r="G98" s="395"/>
      <c r="H98" s="395"/>
      <c r="I98" s="395"/>
      <c r="J98" s="395"/>
      <c r="K98" s="395"/>
      <c r="L98" s="395"/>
      <c r="M98" s="395"/>
      <c r="N98" s="395"/>
      <c r="O98" s="395"/>
      <c r="P98" s="395"/>
      <c r="Q98" s="395"/>
    </row>
    <row r="99" spans="1:17" x14ac:dyDescent="0.2">
      <c r="A99" s="395"/>
      <c r="B99" s="395"/>
      <c r="C99" s="395"/>
      <c r="D99" s="395"/>
      <c r="E99" s="395"/>
      <c r="F99" s="395"/>
      <c r="G99" s="395"/>
      <c r="H99" s="395"/>
      <c r="I99" s="395"/>
      <c r="J99" s="395"/>
      <c r="K99" s="395"/>
      <c r="L99" s="395"/>
      <c r="M99" s="395"/>
      <c r="N99" s="395"/>
      <c r="O99" s="395"/>
      <c r="P99" s="395"/>
      <c r="Q99" s="395"/>
    </row>
    <row r="100" spans="1:17" x14ac:dyDescent="0.2">
      <c r="A100" s="395"/>
      <c r="B100" s="395"/>
      <c r="C100" s="395"/>
      <c r="D100" s="395"/>
      <c r="E100" s="395"/>
      <c r="F100" s="395"/>
      <c r="G100" s="395"/>
      <c r="H100" s="395"/>
      <c r="I100" s="395"/>
      <c r="J100" s="395"/>
      <c r="K100" s="395"/>
      <c r="L100" s="395"/>
      <c r="M100" s="395"/>
      <c r="N100" s="395"/>
      <c r="O100" s="395"/>
      <c r="P100" s="395"/>
      <c r="Q100" s="395"/>
    </row>
    <row r="101" spans="1:17" x14ac:dyDescent="0.2">
      <c r="A101" s="395"/>
      <c r="B101" s="395"/>
      <c r="C101" s="395"/>
      <c r="D101" s="395"/>
      <c r="E101" s="395"/>
      <c r="F101" s="395"/>
      <c r="G101" s="395"/>
      <c r="H101" s="395"/>
      <c r="I101" s="395"/>
      <c r="J101" s="395"/>
      <c r="K101" s="395"/>
      <c r="L101" s="395"/>
      <c r="M101" s="395"/>
      <c r="N101" s="395"/>
      <c r="O101" s="395"/>
      <c r="P101" s="395"/>
      <c r="Q101" s="395"/>
    </row>
    <row r="102" spans="1:17" x14ac:dyDescent="0.2">
      <c r="A102" s="395"/>
      <c r="B102" s="395"/>
      <c r="C102" s="395"/>
      <c r="D102" s="395"/>
      <c r="E102" s="395"/>
      <c r="F102" s="395"/>
      <c r="G102" s="395"/>
      <c r="H102" s="395"/>
      <c r="I102" s="395"/>
      <c r="J102" s="395"/>
      <c r="K102" s="395"/>
      <c r="L102" s="395"/>
      <c r="M102" s="395"/>
      <c r="N102" s="395"/>
      <c r="O102" s="395"/>
      <c r="P102" s="395"/>
      <c r="Q102" s="395"/>
    </row>
    <row r="103" spans="1:17" x14ac:dyDescent="0.2">
      <c r="A103" s="395"/>
      <c r="B103" s="395"/>
      <c r="C103" s="395"/>
      <c r="D103" s="395"/>
      <c r="E103" s="395"/>
      <c r="F103" s="395"/>
      <c r="G103" s="395"/>
      <c r="H103" s="395"/>
      <c r="I103" s="395"/>
      <c r="J103" s="395"/>
      <c r="K103" s="395"/>
      <c r="L103" s="395"/>
      <c r="M103" s="395"/>
      <c r="N103" s="395"/>
      <c r="O103" s="395"/>
      <c r="P103" s="395"/>
      <c r="Q103" s="395"/>
    </row>
    <row r="104" spans="1:17" x14ac:dyDescent="0.2">
      <c r="A104" s="395"/>
      <c r="B104" s="395"/>
      <c r="C104" s="395"/>
      <c r="D104" s="395"/>
      <c r="E104" s="395"/>
      <c r="F104" s="395"/>
      <c r="G104" s="395"/>
      <c r="H104" s="395"/>
      <c r="I104" s="395"/>
      <c r="J104" s="395"/>
      <c r="K104" s="395"/>
      <c r="L104" s="395"/>
      <c r="M104" s="395"/>
      <c r="N104" s="395"/>
      <c r="O104" s="395"/>
      <c r="P104" s="395"/>
      <c r="Q104" s="395"/>
    </row>
    <row r="105" spans="1:17" x14ac:dyDescent="0.2">
      <c r="A105" s="395"/>
      <c r="B105" s="395"/>
      <c r="C105" s="395"/>
      <c r="D105" s="395"/>
      <c r="E105" s="395"/>
      <c r="F105" s="395"/>
      <c r="G105" s="395"/>
      <c r="H105" s="395"/>
      <c r="I105" s="395"/>
      <c r="J105" s="395"/>
      <c r="K105" s="395"/>
      <c r="L105" s="395"/>
      <c r="M105" s="395"/>
      <c r="N105" s="395"/>
      <c r="O105" s="395"/>
      <c r="P105" s="395"/>
      <c r="Q105" s="395"/>
    </row>
    <row r="106" spans="1:17" x14ac:dyDescent="0.2">
      <c r="A106" s="395"/>
      <c r="B106" s="395"/>
      <c r="C106" s="395"/>
      <c r="D106" s="395"/>
      <c r="E106" s="395"/>
      <c r="F106" s="395"/>
      <c r="G106" s="395"/>
      <c r="H106" s="395"/>
      <c r="I106" s="395"/>
      <c r="J106" s="395"/>
      <c r="K106" s="395"/>
      <c r="L106" s="395"/>
      <c r="M106" s="395"/>
      <c r="N106" s="395"/>
      <c r="O106" s="395"/>
      <c r="P106" s="395"/>
      <c r="Q106" s="395"/>
    </row>
    <row r="107" spans="1:17" x14ac:dyDescent="0.2">
      <c r="A107" s="395"/>
      <c r="B107" s="395"/>
      <c r="C107" s="395"/>
      <c r="D107" s="395"/>
      <c r="E107" s="395"/>
      <c r="F107" s="395"/>
      <c r="G107" s="395"/>
      <c r="H107" s="395"/>
      <c r="I107" s="395"/>
      <c r="J107" s="395"/>
      <c r="K107" s="395"/>
      <c r="L107" s="395"/>
      <c r="M107" s="395"/>
      <c r="N107" s="395"/>
      <c r="O107" s="395"/>
      <c r="P107" s="395"/>
      <c r="Q107" s="395"/>
    </row>
    <row r="108" spans="1:17" x14ac:dyDescent="0.2">
      <c r="A108" s="395"/>
      <c r="B108" s="395"/>
      <c r="C108" s="395"/>
      <c r="D108" s="395"/>
      <c r="E108" s="395"/>
      <c r="F108" s="395"/>
      <c r="G108" s="395"/>
      <c r="H108" s="395"/>
      <c r="I108" s="395"/>
      <c r="J108" s="395"/>
      <c r="K108" s="395"/>
      <c r="L108" s="395"/>
      <c r="M108" s="395"/>
      <c r="N108" s="395"/>
      <c r="O108" s="395"/>
      <c r="P108" s="395"/>
      <c r="Q108" s="395"/>
    </row>
    <row r="109" spans="1:17" x14ac:dyDescent="0.2">
      <c r="A109" s="395"/>
      <c r="B109" s="395"/>
      <c r="C109" s="395"/>
      <c r="D109" s="395"/>
      <c r="E109" s="395"/>
      <c r="F109" s="395"/>
      <c r="G109" s="395"/>
      <c r="H109" s="395"/>
      <c r="I109" s="395"/>
      <c r="J109" s="395"/>
      <c r="K109" s="395"/>
      <c r="L109" s="395"/>
      <c r="M109" s="395"/>
      <c r="N109" s="395"/>
      <c r="O109" s="395"/>
      <c r="P109" s="395"/>
      <c r="Q109" s="395"/>
    </row>
    <row r="110" spans="1:17" x14ac:dyDescent="0.2">
      <c r="A110" s="395"/>
      <c r="B110" s="395"/>
      <c r="C110" s="395"/>
      <c r="D110" s="395"/>
      <c r="E110" s="395"/>
      <c r="F110" s="395"/>
      <c r="G110" s="395"/>
      <c r="H110" s="395"/>
      <c r="I110" s="395"/>
      <c r="J110" s="395"/>
      <c r="K110" s="395"/>
      <c r="L110" s="395"/>
      <c r="M110" s="395"/>
      <c r="N110" s="395"/>
      <c r="O110" s="395"/>
      <c r="P110" s="395"/>
      <c r="Q110" s="395"/>
    </row>
    <row r="111" spans="1:17" x14ac:dyDescent="0.2">
      <c r="A111" s="395"/>
      <c r="B111" s="395"/>
      <c r="C111" s="395"/>
      <c r="D111" s="395"/>
      <c r="E111" s="395"/>
      <c r="F111" s="395"/>
      <c r="G111" s="395"/>
      <c r="H111" s="395"/>
      <c r="I111" s="395"/>
      <c r="J111" s="395"/>
      <c r="K111" s="395"/>
      <c r="L111" s="395"/>
      <c r="M111" s="395"/>
      <c r="N111" s="395"/>
      <c r="O111" s="395"/>
      <c r="P111" s="395"/>
      <c r="Q111" s="395"/>
    </row>
    <row r="112" spans="1:17" x14ac:dyDescent="0.2">
      <c r="A112" s="395"/>
      <c r="B112" s="395"/>
      <c r="C112" s="395"/>
      <c r="D112" s="395"/>
      <c r="E112" s="395"/>
      <c r="F112" s="395"/>
      <c r="G112" s="395"/>
      <c r="H112" s="395"/>
      <c r="I112" s="395"/>
      <c r="J112" s="395"/>
      <c r="K112" s="395"/>
      <c r="L112" s="395"/>
      <c r="M112" s="395"/>
      <c r="N112" s="395"/>
      <c r="O112" s="395"/>
      <c r="P112" s="395"/>
      <c r="Q112" s="395"/>
    </row>
    <row r="113" spans="1:17" x14ac:dyDescent="0.2">
      <c r="A113" s="395"/>
      <c r="B113" s="395"/>
      <c r="C113" s="395"/>
      <c r="D113" s="395"/>
      <c r="E113" s="395"/>
      <c r="F113" s="395"/>
      <c r="G113" s="395"/>
      <c r="H113" s="395"/>
      <c r="I113" s="395"/>
      <c r="J113" s="395"/>
      <c r="K113" s="395"/>
      <c r="L113" s="395"/>
      <c r="M113" s="395"/>
      <c r="N113" s="395"/>
      <c r="O113" s="395"/>
      <c r="P113" s="395"/>
      <c r="Q113" s="395"/>
    </row>
    <row r="114" spans="1:17" x14ac:dyDescent="0.2">
      <c r="A114" s="395"/>
      <c r="B114" s="395"/>
      <c r="C114" s="395"/>
      <c r="D114" s="395"/>
      <c r="E114" s="395"/>
      <c r="F114" s="395"/>
      <c r="G114" s="395"/>
      <c r="H114" s="395"/>
      <c r="I114" s="395"/>
      <c r="J114" s="395"/>
      <c r="K114" s="395"/>
      <c r="L114" s="395"/>
      <c r="M114" s="395"/>
      <c r="N114" s="395"/>
      <c r="O114" s="395"/>
      <c r="P114" s="395"/>
      <c r="Q114" s="395"/>
    </row>
    <row r="115" spans="1:17" x14ac:dyDescent="0.2">
      <c r="A115" s="395"/>
      <c r="B115" s="395"/>
      <c r="C115" s="395"/>
      <c r="D115" s="395"/>
      <c r="E115" s="395"/>
      <c r="F115" s="395"/>
      <c r="G115" s="395"/>
      <c r="H115" s="395"/>
      <c r="I115" s="395"/>
      <c r="J115" s="395"/>
      <c r="K115" s="395"/>
      <c r="L115" s="395"/>
      <c r="M115" s="395"/>
      <c r="N115" s="395"/>
      <c r="O115" s="395"/>
      <c r="P115" s="395"/>
      <c r="Q115" s="395"/>
    </row>
    <row r="116" spans="1:17" x14ac:dyDescent="0.2">
      <c r="A116" s="395"/>
      <c r="B116" s="395"/>
      <c r="C116" s="395"/>
      <c r="D116" s="395"/>
      <c r="E116" s="395"/>
      <c r="F116" s="395"/>
      <c r="G116" s="395"/>
      <c r="H116" s="395"/>
      <c r="I116" s="395"/>
      <c r="J116" s="395"/>
      <c r="K116" s="395"/>
      <c r="L116" s="395"/>
      <c r="M116" s="395"/>
      <c r="N116" s="395"/>
      <c r="O116" s="395"/>
      <c r="P116" s="395"/>
      <c r="Q116" s="395"/>
    </row>
    <row r="117" spans="1:17" x14ac:dyDescent="0.2">
      <c r="A117" s="395"/>
      <c r="B117" s="395"/>
      <c r="C117" s="395"/>
      <c r="D117" s="395"/>
      <c r="E117" s="395"/>
      <c r="F117" s="395"/>
      <c r="G117" s="395"/>
      <c r="H117" s="395"/>
      <c r="I117" s="395"/>
      <c r="J117" s="395"/>
      <c r="K117" s="395"/>
      <c r="L117" s="395"/>
      <c r="M117" s="395"/>
      <c r="N117" s="395"/>
      <c r="O117" s="395"/>
      <c r="P117" s="395"/>
      <c r="Q117" s="395"/>
    </row>
    <row r="118" spans="1:17" x14ac:dyDescent="0.2">
      <c r="A118" s="395"/>
      <c r="B118" s="395"/>
      <c r="C118" s="395"/>
      <c r="D118" s="395"/>
      <c r="E118" s="395"/>
      <c r="F118" s="395"/>
      <c r="G118" s="395"/>
      <c r="H118" s="395"/>
      <c r="I118" s="395"/>
      <c r="J118" s="395"/>
      <c r="K118" s="395"/>
      <c r="L118" s="395"/>
      <c r="M118" s="395"/>
      <c r="N118" s="395"/>
      <c r="O118" s="395"/>
      <c r="P118" s="395"/>
      <c r="Q118" s="395"/>
    </row>
    <row r="119" spans="1:17" x14ac:dyDescent="0.2">
      <c r="A119" s="395"/>
      <c r="B119" s="395"/>
      <c r="C119" s="395"/>
      <c r="D119" s="395"/>
      <c r="E119" s="395"/>
      <c r="F119" s="395"/>
      <c r="G119" s="395"/>
      <c r="H119" s="395"/>
      <c r="I119" s="395"/>
      <c r="J119" s="395"/>
      <c r="K119" s="395"/>
      <c r="L119" s="395"/>
      <c r="M119" s="395"/>
      <c r="N119" s="395"/>
      <c r="O119" s="395"/>
      <c r="P119" s="395"/>
      <c r="Q119" s="395"/>
    </row>
    <row r="120" spans="1:17" x14ac:dyDescent="0.2">
      <c r="A120" s="395"/>
      <c r="B120" s="395"/>
      <c r="C120" s="395"/>
      <c r="D120" s="395"/>
      <c r="E120" s="395"/>
      <c r="F120" s="395"/>
      <c r="G120" s="395"/>
      <c r="H120" s="395"/>
      <c r="I120" s="395"/>
      <c r="J120" s="395"/>
      <c r="K120" s="395"/>
      <c r="L120" s="395"/>
      <c r="M120" s="395"/>
      <c r="N120" s="395"/>
      <c r="O120" s="395"/>
      <c r="P120" s="395"/>
      <c r="Q120" s="395"/>
    </row>
    <row r="121" spans="1:17" x14ac:dyDescent="0.2">
      <c r="A121" s="395"/>
      <c r="B121" s="395"/>
      <c r="C121" s="395"/>
      <c r="D121" s="395"/>
      <c r="E121" s="395"/>
      <c r="F121" s="395"/>
      <c r="G121" s="395"/>
      <c r="H121" s="395"/>
      <c r="I121" s="395"/>
      <c r="J121" s="395"/>
      <c r="K121" s="395"/>
      <c r="L121" s="395"/>
      <c r="M121" s="395"/>
      <c r="N121" s="395"/>
      <c r="O121" s="395"/>
      <c r="P121" s="395"/>
      <c r="Q121" s="395"/>
    </row>
    <row r="122" spans="1:17" x14ac:dyDescent="0.2">
      <c r="A122" s="395"/>
      <c r="B122" s="395"/>
      <c r="C122" s="395"/>
      <c r="D122" s="395"/>
      <c r="E122" s="395"/>
      <c r="F122" s="395"/>
      <c r="G122" s="395"/>
      <c r="H122" s="395"/>
      <c r="I122" s="395"/>
      <c r="J122" s="395"/>
      <c r="K122" s="395"/>
      <c r="L122" s="395"/>
      <c r="M122" s="395"/>
      <c r="N122" s="395"/>
      <c r="O122" s="395"/>
      <c r="P122" s="395"/>
      <c r="Q122" s="395"/>
    </row>
    <row r="123" spans="1:17" x14ac:dyDescent="0.2">
      <c r="A123" s="395"/>
      <c r="B123" s="395"/>
      <c r="C123" s="395"/>
      <c r="D123" s="395"/>
      <c r="E123" s="395"/>
      <c r="F123" s="395"/>
      <c r="G123" s="395"/>
      <c r="H123" s="395"/>
      <c r="I123" s="395"/>
      <c r="J123" s="395"/>
      <c r="K123" s="395"/>
      <c r="L123" s="395"/>
      <c r="M123" s="395"/>
      <c r="N123" s="395"/>
      <c r="O123" s="395"/>
      <c r="P123" s="395"/>
      <c r="Q123" s="395"/>
    </row>
    <row r="124" spans="1:17" x14ac:dyDescent="0.2">
      <c r="A124" s="395"/>
      <c r="B124" s="395"/>
      <c r="C124" s="395"/>
      <c r="D124" s="395"/>
      <c r="E124" s="395"/>
      <c r="F124" s="395"/>
      <c r="G124" s="395"/>
      <c r="H124" s="395"/>
      <c r="I124" s="395"/>
      <c r="J124" s="395"/>
      <c r="K124" s="395"/>
      <c r="L124" s="395"/>
      <c r="M124" s="395"/>
      <c r="N124" s="395"/>
      <c r="O124" s="395"/>
      <c r="P124" s="395"/>
      <c r="Q124" s="395"/>
    </row>
    <row r="125" spans="1:17" x14ac:dyDescent="0.2">
      <c r="A125" s="395"/>
      <c r="B125" s="395"/>
      <c r="C125" s="395"/>
      <c r="D125" s="395"/>
      <c r="E125" s="395"/>
      <c r="F125" s="395"/>
      <c r="G125" s="395"/>
      <c r="H125" s="395"/>
      <c r="I125" s="395"/>
      <c r="J125" s="395"/>
      <c r="K125" s="395"/>
      <c r="L125" s="395"/>
      <c r="M125" s="395"/>
      <c r="N125" s="395"/>
      <c r="O125" s="395"/>
      <c r="P125" s="395"/>
      <c r="Q125" s="395"/>
    </row>
    <row r="126" spans="1:17" x14ac:dyDescent="0.2">
      <c r="A126" s="395"/>
      <c r="B126" s="395"/>
      <c r="C126" s="395"/>
      <c r="D126" s="395"/>
      <c r="E126" s="395"/>
      <c r="F126" s="395"/>
      <c r="G126" s="395"/>
      <c r="H126" s="395"/>
      <c r="I126" s="395"/>
      <c r="J126" s="395"/>
      <c r="K126" s="395"/>
      <c r="L126" s="395"/>
      <c r="M126" s="395"/>
      <c r="N126" s="395"/>
      <c r="O126" s="395"/>
      <c r="P126" s="395"/>
      <c r="Q126" s="395"/>
    </row>
    <row r="127" spans="1:17" x14ac:dyDescent="0.2">
      <c r="A127" s="395"/>
      <c r="B127" s="395"/>
      <c r="C127" s="395"/>
      <c r="D127" s="395"/>
      <c r="E127" s="395"/>
      <c r="F127" s="395"/>
      <c r="G127" s="395"/>
      <c r="H127" s="395"/>
      <c r="I127" s="395"/>
      <c r="J127" s="395"/>
      <c r="K127" s="395"/>
      <c r="L127" s="395"/>
      <c r="M127" s="395"/>
      <c r="N127" s="395"/>
      <c r="O127" s="395"/>
      <c r="P127" s="395"/>
      <c r="Q127" s="395"/>
    </row>
    <row r="128" spans="1:17" x14ac:dyDescent="0.2">
      <c r="A128" s="395"/>
      <c r="B128" s="395"/>
      <c r="C128" s="395"/>
      <c r="D128" s="395"/>
      <c r="E128" s="395"/>
      <c r="F128" s="395"/>
      <c r="G128" s="395"/>
      <c r="H128" s="395"/>
      <c r="I128" s="395"/>
      <c r="J128" s="395"/>
      <c r="K128" s="395"/>
      <c r="L128" s="395"/>
      <c r="M128" s="395"/>
      <c r="N128" s="395"/>
      <c r="O128" s="395"/>
      <c r="P128" s="395"/>
      <c r="Q128" s="395"/>
    </row>
    <row r="129" spans="1:17" x14ac:dyDescent="0.2">
      <c r="A129" s="395"/>
      <c r="B129" s="395"/>
      <c r="C129" s="395"/>
      <c r="D129" s="395"/>
      <c r="E129" s="395"/>
      <c r="F129" s="395"/>
      <c r="G129" s="395"/>
      <c r="H129" s="395"/>
      <c r="I129" s="395"/>
      <c r="J129" s="395"/>
      <c r="K129" s="395"/>
      <c r="L129" s="395"/>
      <c r="M129" s="395"/>
      <c r="N129" s="395"/>
      <c r="O129" s="395"/>
      <c r="P129" s="395"/>
      <c r="Q129" s="395"/>
    </row>
    <row r="130" spans="1:17" x14ac:dyDescent="0.2">
      <c r="A130" s="395"/>
      <c r="B130" s="395"/>
      <c r="C130" s="395"/>
      <c r="D130" s="395"/>
      <c r="E130" s="395"/>
      <c r="F130" s="395"/>
      <c r="G130" s="395"/>
      <c r="H130" s="395"/>
      <c r="I130" s="395"/>
      <c r="J130" s="395"/>
      <c r="K130" s="395"/>
      <c r="L130" s="395"/>
      <c r="M130" s="395"/>
      <c r="N130" s="395"/>
      <c r="O130" s="395"/>
      <c r="P130" s="395"/>
      <c r="Q130" s="395"/>
    </row>
    <row r="131" spans="1:17" x14ac:dyDescent="0.2">
      <c r="A131" s="395"/>
      <c r="B131" s="395"/>
      <c r="C131" s="395"/>
      <c r="D131" s="395"/>
      <c r="E131" s="395"/>
      <c r="F131" s="395"/>
      <c r="G131" s="395"/>
      <c r="H131" s="395"/>
      <c r="I131" s="395"/>
      <c r="J131" s="395"/>
      <c r="K131" s="395"/>
      <c r="L131" s="395"/>
      <c r="M131" s="395"/>
      <c r="N131" s="395"/>
      <c r="O131" s="395"/>
      <c r="P131" s="395"/>
      <c r="Q131" s="395"/>
    </row>
    <row r="132" spans="1:17" x14ac:dyDescent="0.2">
      <c r="A132" s="395"/>
      <c r="B132" s="395"/>
      <c r="C132" s="395"/>
      <c r="D132" s="395"/>
      <c r="E132" s="395"/>
      <c r="F132" s="395"/>
      <c r="G132" s="395"/>
      <c r="H132" s="395"/>
      <c r="I132" s="395"/>
      <c r="J132" s="395"/>
      <c r="K132" s="395"/>
      <c r="L132" s="395"/>
      <c r="M132" s="395"/>
      <c r="N132" s="395"/>
      <c r="O132" s="395"/>
      <c r="P132" s="395"/>
      <c r="Q132" s="395"/>
    </row>
    <row r="133" spans="1:17" x14ac:dyDescent="0.2">
      <c r="A133" s="395"/>
      <c r="B133" s="395"/>
      <c r="C133" s="395"/>
      <c r="D133" s="395"/>
      <c r="E133" s="395"/>
      <c r="F133" s="395"/>
      <c r="G133" s="395"/>
      <c r="H133" s="395"/>
      <c r="I133" s="395"/>
      <c r="J133" s="395"/>
      <c r="K133" s="395"/>
      <c r="L133" s="395"/>
      <c r="M133" s="395"/>
      <c r="N133" s="395"/>
      <c r="O133" s="395"/>
      <c r="P133" s="395"/>
      <c r="Q133" s="395"/>
    </row>
    <row r="134" spans="1:17" x14ac:dyDescent="0.2">
      <c r="A134" s="395"/>
      <c r="B134" s="395"/>
      <c r="C134" s="395"/>
      <c r="D134" s="395"/>
      <c r="E134" s="395"/>
      <c r="F134" s="395"/>
      <c r="G134" s="395"/>
      <c r="H134" s="395"/>
      <c r="I134" s="395"/>
      <c r="J134" s="395"/>
      <c r="K134" s="395"/>
      <c r="L134" s="395"/>
      <c r="M134" s="395"/>
      <c r="N134" s="395"/>
      <c r="O134" s="395"/>
      <c r="P134" s="395"/>
      <c r="Q134" s="395"/>
    </row>
    <row r="135" spans="1:17" x14ac:dyDescent="0.2">
      <c r="A135" s="395"/>
      <c r="B135" s="395"/>
      <c r="C135" s="395"/>
      <c r="D135" s="395"/>
      <c r="E135" s="395"/>
      <c r="F135" s="395"/>
      <c r="G135" s="395"/>
      <c r="H135" s="395"/>
      <c r="I135" s="395"/>
      <c r="J135" s="395"/>
      <c r="K135" s="395"/>
      <c r="L135" s="395"/>
      <c r="M135" s="395"/>
      <c r="N135" s="395"/>
      <c r="O135" s="395"/>
      <c r="P135" s="395"/>
      <c r="Q135" s="395"/>
    </row>
    <row r="136" spans="1:17" x14ac:dyDescent="0.2">
      <c r="A136" s="395"/>
      <c r="B136" s="395"/>
      <c r="C136" s="395"/>
      <c r="D136" s="395"/>
      <c r="E136" s="395"/>
      <c r="F136" s="395"/>
      <c r="G136" s="395"/>
      <c r="H136" s="395"/>
      <c r="I136" s="395"/>
      <c r="J136" s="395"/>
      <c r="K136" s="395"/>
      <c r="L136" s="395"/>
      <c r="M136" s="395"/>
      <c r="N136" s="395"/>
      <c r="O136" s="395"/>
      <c r="P136" s="395"/>
      <c r="Q136" s="395"/>
    </row>
    <row r="137" spans="1:17" x14ac:dyDescent="0.2">
      <c r="A137" s="395"/>
      <c r="B137" s="395"/>
      <c r="C137" s="395"/>
      <c r="D137" s="395"/>
      <c r="E137" s="395"/>
      <c r="F137" s="395"/>
      <c r="G137" s="395"/>
      <c r="H137" s="395"/>
      <c r="I137" s="395"/>
      <c r="J137" s="395"/>
      <c r="K137" s="395"/>
      <c r="L137" s="395"/>
      <c r="M137" s="395"/>
      <c r="N137" s="395"/>
      <c r="O137" s="395"/>
      <c r="P137" s="395"/>
      <c r="Q137" s="395"/>
    </row>
  </sheetData>
  <sheetProtection sheet="1"/>
  <phoneticPr fontId="22" type="noConversion"/>
  <hyperlinks>
    <hyperlink ref="F1" location="'Menú Principa'!A1" display="'Menú Principa'!A1"/>
  </hyperlinks>
  <pageMargins left="0.32" right="0.5" top="0.4" bottom="0.41" header="0" footer="0"/>
  <pageSetup paperSize="5" scale="84" fitToHeight="3" orientation="landscape" horizontalDpi="4294967295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0">
    <pageSetUpPr fitToPage="1"/>
  </sheetPr>
  <dimension ref="A1:AB107"/>
  <sheetViews>
    <sheetView showGridLines="0" showRowColHeaders="0" workbookViewId="0">
      <selection activeCell="H1" sqref="H1"/>
    </sheetView>
  </sheetViews>
  <sheetFormatPr baseColWidth="10" defaultRowHeight="12.75" x14ac:dyDescent="0.2"/>
  <cols>
    <col min="1" max="1" width="11.42578125" style="1"/>
    <col min="2" max="2" width="22.42578125" style="1" customWidth="1"/>
    <col min="3" max="3" width="15.7109375" style="1" customWidth="1"/>
    <col min="4" max="4" width="1.85546875" style="1" customWidth="1"/>
    <col min="5" max="5" width="4.5703125" style="1" customWidth="1"/>
    <col min="6" max="6" width="11.42578125" style="1"/>
    <col min="7" max="7" width="8" style="1" customWidth="1"/>
    <col min="8" max="8" width="13.140625" style="1" customWidth="1"/>
    <col min="9" max="9" width="1.85546875" style="1" customWidth="1"/>
    <col min="10" max="11" width="13.28515625" style="1" customWidth="1"/>
    <col min="12" max="12" width="3" style="1" customWidth="1"/>
    <col min="13" max="13" width="11.42578125" style="1"/>
    <col min="14" max="14" width="15" style="1" customWidth="1"/>
    <col min="15" max="16384" width="11.42578125" style="1"/>
  </cols>
  <sheetData>
    <row r="1" spans="1:28" x14ac:dyDescent="0.2">
      <c r="A1" s="30" t="s">
        <v>209</v>
      </c>
      <c r="B1" s="31"/>
      <c r="C1" s="31"/>
      <c r="D1" s="31"/>
      <c r="E1" s="31"/>
      <c r="F1" s="31"/>
      <c r="H1" s="24" t="s">
        <v>56</v>
      </c>
    </row>
    <row r="2" spans="1:28" x14ac:dyDescent="0.2">
      <c r="A2" s="15" t="str">
        <f>Arr_Acum!A2</f>
        <v>Ejercicio Fiscal de 2010</v>
      </c>
      <c r="B2" s="31"/>
      <c r="C2" s="31"/>
      <c r="D2" s="31"/>
      <c r="E2" s="31"/>
      <c r="F2" s="31"/>
      <c r="G2" s="10"/>
      <c r="I2" s="24"/>
      <c r="J2" s="28"/>
      <c r="S2" s="1" t="s">
        <v>8</v>
      </c>
      <c r="U2" s="1">
        <f>C34</f>
        <v>0</v>
      </c>
    </row>
    <row r="3" spans="1:28" x14ac:dyDescent="0.2">
      <c r="A3" s="30"/>
      <c r="B3" s="31"/>
      <c r="C3" s="31"/>
      <c r="D3" s="31"/>
      <c r="E3" s="31"/>
      <c r="F3" s="31"/>
      <c r="G3" s="10"/>
      <c r="H3" s="23"/>
      <c r="I3" s="24"/>
      <c r="J3" s="28"/>
      <c r="S3" s="1" t="s">
        <v>9</v>
      </c>
      <c r="U3" s="3" t="e">
        <f>+VLOOKUP($U$2,Mensual,1)</f>
        <v>#N/A</v>
      </c>
    </row>
    <row r="4" spans="1:28" x14ac:dyDescent="0.2">
      <c r="A4" s="156" t="s">
        <v>220</v>
      </c>
      <c r="B4" s="157"/>
      <c r="C4" s="158">
        <v>0</v>
      </c>
      <c r="D4" s="31"/>
      <c r="E4" s="31"/>
      <c r="F4" s="31"/>
      <c r="G4" s="10"/>
      <c r="H4" s="24"/>
      <c r="I4" s="24"/>
      <c r="J4" s="28"/>
      <c r="S4" s="1" t="s">
        <v>10</v>
      </c>
      <c r="U4" s="1" t="e">
        <f>+U2-U3</f>
        <v>#N/A</v>
      </c>
    </row>
    <row r="5" spans="1:28" x14ac:dyDescent="0.2">
      <c r="A5" s="134" t="s">
        <v>190</v>
      </c>
      <c r="B5" s="124"/>
      <c r="C5" s="205" t="s">
        <v>136</v>
      </c>
      <c r="D5" s="212"/>
      <c r="E5" s="206"/>
      <c r="F5" s="206"/>
      <c r="G5" s="206"/>
      <c r="H5" s="207"/>
      <c r="I5" s="129" t="s">
        <v>47</v>
      </c>
      <c r="J5" s="28"/>
      <c r="S5" s="1" t="s">
        <v>11</v>
      </c>
      <c r="U5" s="73" t="e">
        <f>+VLOOKUP($U$2,Mensual,4)</f>
        <v>#N/A</v>
      </c>
    </row>
    <row r="6" spans="1:28" x14ac:dyDescent="0.2">
      <c r="A6" s="134" t="s">
        <v>161</v>
      </c>
      <c r="B6" s="125"/>
      <c r="C6" s="205" t="s">
        <v>136</v>
      </c>
      <c r="D6" s="212"/>
      <c r="E6" s="206"/>
      <c r="F6" s="206"/>
      <c r="G6" s="206"/>
      <c r="H6" s="207"/>
      <c r="I6" s="129" t="s">
        <v>47</v>
      </c>
      <c r="J6" s="28"/>
      <c r="S6" s="1" t="s">
        <v>12</v>
      </c>
      <c r="U6" s="1" t="e">
        <f>ROUND(U4*U5,2)</f>
        <v>#N/A</v>
      </c>
    </row>
    <row r="7" spans="1:28" x14ac:dyDescent="0.2">
      <c r="A7" s="134" t="s">
        <v>216</v>
      </c>
      <c r="B7" s="125"/>
      <c r="C7" s="205" t="s">
        <v>136</v>
      </c>
      <c r="D7" s="212"/>
      <c r="E7" s="206"/>
      <c r="F7" s="206"/>
      <c r="G7" s="206"/>
      <c r="H7" s="207"/>
      <c r="I7" s="129" t="s">
        <v>47</v>
      </c>
      <c r="J7" s="28"/>
      <c r="S7" s="1" t="s">
        <v>13</v>
      </c>
      <c r="U7" s="3" t="e">
        <f>+VLOOKUP($U$2,Mensual,3)</f>
        <v>#N/A</v>
      </c>
    </row>
    <row r="8" spans="1:28" x14ac:dyDescent="0.2">
      <c r="A8" s="134" t="s">
        <v>161</v>
      </c>
      <c r="B8" s="125"/>
      <c r="C8" s="208" t="s">
        <v>136</v>
      </c>
      <c r="D8" s="213"/>
      <c r="E8" s="209"/>
      <c r="F8" s="209"/>
      <c r="G8" s="209"/>
      <c r="H8" s="210"/>
      <c r="I8" s="129" t="s">
        <v>47</v>
      </c>
      <c r="J8" s="28"/>
      <c r="S8" s="1" t="s">
        <v>14</v>
      </c>
      <c r="U8" s="41" t="e">
        <f>+U6+U7</f>
        <v>#N/A</v>
      </c>
    </row>
    <row r="9" spans="1:28" x14ac:dyDescent="0.2">
      <c r="A9" s="32"/>
      <c r="B9" s="32"/>
      <c r="C9" s="32"/>
      <c r="D9" s="32"/>
      <c r="E9" s="33"/>
      <c r="F9" s="34"/>
      <c r="G9" s="10"/>
      <c r="H9" s="10"/>
      <c r="I9" s="10"/>
      <c r="J9" s="10"/>
      <c r="U9" s="10"/>
    </row>
    <row r="10" spans="1:28" x14ac:dyDescent="0.2">
      <c r="A10" s="32"/>
      <c r="B10" s="32"/>
      <c r="C10" s="132" t="s">
        <v>76</v>
      </c>
      <c r="D10" s="142"/>
      <c r="E10" s="44"/>
      <c r="G10" s="10"/>
      <c r="H10" s="10"/>
      <c r="I10" s="10"/>
      <c r="J10" s="10"/>
      <c r="K10" s="132" t="s">
        <v>125</v>
      </c>
      <c r="U10" s="10"/>
      <c r="V10" s="25"/>
      <c r="W10" s="25"/>
      <c r="X10" s="25"/>
      <c r="Y10" s="25"/>
      <c r="AA10" s="25"/>
      <c r="AB10" s="25"/>
    </row>
    <row r="11" spans="1:28" x14ac:dyDescent="0.2">
      <c r="A11" s="153" t="s">
        <v>210</v>
      </c>
      <c r="B11" s="32"/>
      <c r="C11" s="65">
        <v>0</v>
      </c>
      <c r="D11" s="38" t="s">
        <v>47</v>
      </c>
      <c r="F11" s="32" t="str">
        <f>A11</f>
        <v>Ingresos efectivamente cobrados</v>
      </c>
      <c r="G11" s="10"/>
      <c r="H11" s="10"/>
      <c r="I11" s="10"/>
      <c r="K11" s="78">
        <f>+C11</f>
        <v>0</v>
      </c>
      <c r="S11" s="25"/>
      <c r="T11" s="25"/>
      <c r="U11" s="26"/>
      <c r="V11" s="25"/>
      <c r="W11" s="25"/>
      <c r="X11" s="25"/>
      <c r="Y11" s="25"/>
      <c r="AA11" s="25"/>
      <c r="AB11" s="25"/>
    </row>
    <row r="12" spans="1:28" x14ac:dyDescent="0.2">
      <c r="A12" s="135"/>
      <c r="B12" s="135"/>
      <c r="C12" s="136"/>
      <c r="D12" s="135"/>
      <c r="F12" s="10" t="s">
        <v>140</v>
      </c>
      <c r="G12" s="10"/>
      <c r="H12" s="10"/>
      <c r="I12" s="10"/>
      <c r="J12" s="28"/>
      <c r="S12" s="25"/>
      <c r="T12" s="25"/>
      <c r="U12" s="26"/>
      <c r="V12" s="25"/>
      <c r="W12" s="25"/>
      <c r="X12" s="25"/>
      <c r="Y12" s="25"/>
      <c r="AA12" s="25"/>
      <c r="AB12" s="25"/>
    </row>
    <row r="13" spans="1:28" x14ac:dyDescent="0.2">
      <c r="A13" s="152" t="s">
        <v>225</v>
      </c>
      <c r="B13" s="135"/>
      <c r="C13" s="136"/>
      <c r="D13" s="136"/>
      <c r="F13" s="1" t="s">
        <v>206</v>
      </c>
      <c r="S13" s="25"/>
      <c r="T13" s="25"/>
      <c r="U13" s="26"/>
      <c r="V13" s="25"/>
      <c r="W13" s="25"/>
      <c r="X13" s="25"/>
      <c r="Y13" s="25"/>
      <c r="AA13" s="25"/>
      <c r="AB13" s="25"/>
    </row>
    <row r="14" spans="1:28" x14ac:dyDescent="0.2">
      <c r="A14" s="148" t="s">
        <v>257</v>
      </c>
      <c r="B14" s="148"/>
      <c r="C14" s="140">
        <v>0</v>
      </c>
      <c r="D14" s="38" t="s">
        <v>47</v>
      </c>
      <c r="E14" s="138"/>
      <c r="F14" s="1" t="s">
        <v>599</v>
      </c>
      <c r="K14" s="65">
        <v>0</v>
      </c>
      <c r="L14" s="15" t="s">
        <v>47</v>
      </c>
      <c r="S14" s="25"/>
      <c r="T14" s="25"/>
      <c r="U14" s="26"/>
      <c r="V14" s="25"/>
      <c r="W14" s="25"/>
      <c r="X14" s="25"/>
      <c r="Y14" s="25"/>
      <c r="AA14" s="25"/>
      <c r="AB14" s="25"/>
    </row>
    <row r="15" spans="1:28" x14ac:dyDescent="0.2">
      <c r="A15" s="148" t="s">
        <v>258</v>
      </c>
      <c r="B15" s="149"/>
      <c r="C15" s="140">
        <v>0</v>
      </c>
      <c r="D15" s="38" t="s">
        <v>47</v>
      </c>
      <c r="E15" s="135"/>
      <c r="S15" s="25"/>
      <c r="T15" s="25"/>
      <c r="U15" s="26"/>
      <c r="V15" s="25"/>
      <c r="W15" s="25"/>
      <c r="X15" s="25"/>
      <c r="Y15" s="25"/>
      <c r="AA15" s="25"/>
      <c r="AB15" s="25"/>
    </row>
    <row r="16" spans="1:28" x14ac:dyDescent="0.2">
      <c r="A16" s="148" t="s">
        <v>259</v>
      </c>
      <c r="B16" s="148"/>
      <c r="C16" s="140">
        <v>0</v>
      </c>
      <c r="D16" s="38" t="s">
        <v>47</v>
      </c>
      <c r="E16" s="135"/>
      <c r="F16" s="15" t="s">
        <v>207</v>
      </c>
      <c r="K16" s="143">
        <f>K11-K14</f>
        <v>0</v>
      </c>
      <c r="O16" s="2"/>
      <c r="S16" s="25"/>
      <c r="T16" s="25"/>
      <c r="U16" s="26"/>
      <c r="V16" s="25"/>
      <c r="W16" s="25"/>
      <c r="X16" s="25"/>
      <c r="Y16" s="25"/>
      <c r="AA16" s="25"/>
      <c r="AB16" s="25"/>
    </row>
    <row r="17" spans="1:28" x14ac:dyDescent="0.2">
      <c r="A17" s="148" t="s">
        <v>260</v>
      </c>
      <c r="B17" s="148"/>
      <c r="C17" s="140">
        <v>0</v>
      </c>
      <c r="D17" s="38" t="s">
        <v>47</v>
      </c>
      <c r="E17" s="139"/>
      <c r="O17" s="2"/>
      <c r="U17" s="2"/>
      <c r="W17" s="25"/>
      <c r="X17" s="25"/>
      <c r="AA17" s="25"/>
      <c r="AB17" s="25"/>
    </row>
    <row r="18" spans="1:28" x14ac:dyDescent="0.2">
      <c r="A18" s="148" t="s">
        <v>136</v>
      </c>
      <c r="B18" s="148"/>
      <c r="C18" s="140">
        <v>0</v>
      </c>
      <c r="D18" s="38" t="s">
        <v>47</v>
      </c>
      <c r="E18" s="135"/>
      <c r="F18" s="67" t="s">
        <v>225</v>
      </c>
      <c r="G18" s="10"/>
      <c r="H18" s="10"/>
      <c r="I18" s="10"/>
      <c r="J18" s="10"/>
      <c r="K18" s="78">
        <f>SUM(J19:J32)</f>
        <v>0</v>
      </c>
      <c r="O18" s="4"/>
      <c r="U18" s="2"/>
      <c r="AA18" s="25"/>
      <c r="AB18" s="25"/>
    </row>
    <row r="19" spans="1:28" x14ac:dyDescent="0.2">
      <c r="A19" s="148" t="s">
        <v>136</v>
      </c>
      <c r="B19" s="149"/>
      <c r="C19" s="140">
        <v>0</v>
      </c>
      <c r="D19" s="38" t="s">
        <v>47</v>
      </c>
      <c r="E19" s="137"/>
      <c r="F19" s="56" t="str">
        <f>A14</f>
        <v>Hospedaje</v>
      </c>
      <c r="G19" s="25"/>
      <c r="H19" s="25"/>
      <c r="I19" s="59" t="s">
        <v>47</v>
      </c>
      <c r="J19" s="151">
        <v>0</v>
      </c>
      <c r="O19" s="4"/>
      <c r="U19" s="2"/>
      <c r="AA19" s="25"/>
      <c r="AB19" s="25"/>
    </row>
    <row r="20" spans="1:28" x14ac:dyDescent="0.2">
      <c r="A20" s="148" t="s">
        <v>136</v>
      </c>
      <c r="B20" s="149"/>
      <c r="C20" s="140">
        <v>0</v>
      </c>
      <c r="D20" s="38" t="s">
        <v>47</v>
      </c>
      <c r="E20" s="138"/>
      <c r="F20" s="56" t="str">
        <f>A17</f>
        <v>Mantenimiento</v>
      </c>
      <c r="G20" s="25"/>
      <c r="H20" s="25"/>
      <c r="I20" s="59" t="s">
        <v>47</v>
      </c>
      <c r="J20" s="80">
        <v>0</v>
      </c>
      <c r="O20" s="4"/>
      <c r="AA20" s="25"/>
      <c r="AB20" s="25"/>
    </row>
    <row r="21" spans="1:28" x14ac:dyDescent="0.2">
      <c r="A21" s="148" t="s">
        <v>136</v>
      </c>
      <c r="B21" s="148"/>
      <c r="C21" s="140">
        <v>0</v>
      </c>
      <c r="D21" s="38" t="s">
        <v>47</v>
      </c>
      <c r="E21" s="139"/>
      <c r="F21" s="56" t="s">
        <v>136</v>
      </c>
      <c r="G21" s="25"/>
      <c r="H21" s="25"/>
      <c r="I21" s="59" t="s">
        <v>47</v>
      </c>
      <c r="J21" s="80">
        <v>0</v>
      </c>
      <c r="AA21" s="25"/>
      <c r="AB21" s="25"/>
    </row>
    <row r="22" spans="1:28" x14ac:dyDescent="0.2">
      <c r="A22" s="148" t="s">
        <v>136</v>
      </c>
      <c r="B22" s="148"/>
      <c r="C22" s="140">
        <v>0</v>
      </c>
      <c r="D22" s="38" t="s">
        <v>47</v>
      </c>
      <c r="E22" s="139"/>
      <c r="F22" s="56" t="s">
        <v>136</v>
      </c>
      <c r="G22" s="25"/>
      <c r="H22" s="25"/>
      <c r="I22" s="59" t="s">
        <v>47</v>
      </c>
      <c r="J22" s="80">
        <v>0</v>
      </c>
      <c r="P22" s="29"/>
      <c r="AA22" s="25"/>
      <c r="AB22" s="25"/>
    </row>
    <row r="23" spans="1:28" x14ac:dyDescent="0.2">
      <c r="A23" s="148" t="s">
        <v>136</v>
      </c>
      <c r="B23" s="148"/>
      <c r="C23" s="140">
        <v>0</v>
      </c>
      <c r="D23" s="38" t="s">
        <v>47</v>
      </c>
      <c r="E23" s="135"/>
      <c r="F23" s="56" t="s">
        <v>136</v>
      </c>
      <c r="G23" s="25"/>
      <c r="H23" s="25"/>
      <c r="I23" s="59" t="s">
        <v>47</v>
      </c>
      <c r="J23" s="80">
        <v>0</v>
      </c>
    </row>
    <row r="24" spans="1:28" x14ac:dyDescent="0.2">
      <c r="A24" s="148" t="s">
        <v>136</v>
      </c>
      <c r="B24" s="148"/>
      <c r="C24" s="140">
        <v>0</v>
      </c>
      <c r="D24" s="38" t="s">
        <v>47</v>
      </c>
      <c r="E24" s="137"/>
      <c r="F24" s="56" t="s">
        <v>136</v>
      </c>
      <c r="G24" s="25"/>
      <c r="H24" s="25"/>
      <c r="I24" s="59" t="s">
        <v>47</v>
      </c>
      <c r="J24" s="80">
        <v>0</v>
      </c>
    </row>
    <row r="25" spans="1:28" x14ac:dyDescent="0.2">
      <c r="A25" s="56" t="s">
        <v>136</v>
      </c>
      <c r="B25" s="56"/>
      <c r="C25" s="37">
        <v>0</v>
      </c>
      <c r="D25" s="38" t="s">
        <v>47</v>
      </c>
      <c r="E25" s="137"/>
      <c r="F25" s="56" t="s">
        <v>136</v>
      </c>
      <c r="G25" s="25"/>
      <c r="H25" s="25"/>
      <c r="I25" s="59" t="s">
        <v>47</v>
      </c>
      <c r="J25" s="80">
        <v>0</v>
      </c>
      <c r="M25" s="15"/>
    </row>
    <row r="26" spans="1:28" x14ac:dyDescent="0.2">
      <c r="A26" s="56" t="s">
        <v>136</v>
      </c>
      <c r="B26" s="56"/>
      <c r="C26" s="37">
        <v>0</v>
      </c>
      <c r="D26" s="38" t="s">
        <v>47</v>
      </c>
      <c r="E26" s="135"/>
      <c r="F26" s="56" t="s">
        <v>136</v>
      </c>
      <c r="G26" s="25"/>
      <c r="H26" s="25"/>
      <c r="I26" s="59" t="s">
        <v>47</v>
      </c>
      <c r="J26" s="80">
        <v>0</v>
      </c>
    </row>
    <row r="27" spans="1:28" x14ac:dyDescent="0.2">
      <c r="A27" s="56" t="s">
        <v>136</v>
      </c>
      <c r="B27" s="56"/>
      <c r="C27" s="37">
        <v>0</v>
      </c>
      <c r="D27" s="38" t="s">
        <v>47</v>
      </c>
      <c r="E27" s="135"/>
      <c r="F27" s="56" t="s">
        <v>136</v>
      </c>
      <c r="G27" s="25"/>
      <c r="H27" s="25"/>
      <c r="I27" s="59" t="s">
        <v>47</v>
      </c>
      <c r="J27" s="80">
        <v>0</v>
      </c>
      <c r="V27" s="10"/>
      <c r="W27" s="10"/>
      <c r="X27" s="10"/>
    </row>
    <row r="28" spans="1:28" x14ac:dyDescent="0.2">
      <c r="A28" s="56" t="s">
        <v>136</v>
      </c>
      <c r="B28" s="56"/>
      <c r="C28" s="37">
        <v>0</v>
      </c>
      <c r="D28" s="38" t="s">
        <v>47</v>
      </c>
      <c r="E28" s="32"/>
      <c r="F28" s="56" t="s">
        <v>136</v>
      </c>
      <c r="G28" s="56"/>
      <c r="H28" s="56"/>
      <c r="I28" s="59" t="s">
        <v>47</v>
      </c>
      <c r="J28" s="81">
        <v>0</v>
      </c>
      <c r="K28" s="10"/>
      <c r="V28" s="10"/>
      <c r="W28" s="10"/>
      <c r="X28" s="10"/>
    </row>
    <row r="29" spans="1:28" x14ac:dyDescent="0.2">
      <c r="A29" s="25" t="s">
        <v>136</v>
      </c>
      <c r="B29" s="25"/>
      <c r="C29" s="151">
        <v>0</v>
      </c>
      <c r="D29" s="38" t="s">
        <v>47</v>
      </c>
      <c r="E29" s="32"/>
      <c r="F29" s="56" t="s">
        <v>136</v>
      </c>
      <c r="G29" s="56"/>
      <c r="H29" s="56"/>
      <c r="I29" s="59" t="s">
        <v>47</v>
      </c>
      <c r="J29" s="81">
        <v>0</v>
      </c>
      <c r="K29" s="10"/>
      <c r="V29" s="10"/>
      <c r="W29" s="10"/>
      <c r="X29" s="10"/>
    </row>
    <row r="30" spans="1:28" x14ac:dyDescent="0.2">
      <c r="A30" s="25" t="s">
        <v>136</v>
      </c>
      <c r="B30" s="25"/>
      <c r="C30" s="151">
        <v>0</v>
      </c>
      <c r="D30" s="38" t="s">
        <v>47</v>
      </c>
      <c r="E30" s="10"/>
      <c r="F30" s="56" t="s">
        <v>136</v>
      </c>
      <c r="G30" s="56"/>
      <c r="H30" s="56"/>
      <c r="I30" s="59" t="s">
        <v>47</v>
      </c>
      <c r="J30" s="81">
        <v>0</v>
      </c>
      <c r="K30" s="10"/>
      <c r="V30" s="10"/>
      <c r="W30" s="10"/>
      <c r="X30" s="10"/>
    </row>
    <row r="31" spans="1:28" x14ac:dyDescent="0.2">
      <c r="A31" s="25" t="s">
        <v>136</v>
      </c>
      <c r="B31" s="25"/>
      <c r="C31" s="151">
        <v>0</v>
      </c>
      <c r="D31" s="38" t="s">
        <v>47</v>
      </c>
      <c r="E31" s="10"/>
      <c r="F31" s="56" t="s">
        <v>136</v>
      </c>
      <c r="G31" s="56"/>
      <c r="H31" s="79"/>
      <c r="I31" s="59" t="s">
        <v>47</v>
      </c>
      <c r="J31" s="81">
        <v>0</v>
      </c>
      <c r="K31" s="10"/>
      <c r="W31" s="10"/>
    </row>
    <row r="32" spans="1:28" x14ac:dyDescent="0.2">
      <c r="B32" s="62" t="s">
        <v>211</v>
      </c>
      <c r="C32" s="78">
        <f>SUM(C14:C31)</f>
        <v>0</v>
      </c>
      <c r="D32" s="10"/>
      <c r="F32" s="56" t="s">
        <v>136</v>
      </c>
      <c r="G32" s="56"/>
      <c r="H32" s="150"/>
      <c r="I32" s="59" t="s">
        <v>47</v>
      </c>
      <c r="J32" s="154">
        <v>0</v>
      </c>
      <c r="K32" s="10"/>
      <c r="R32" s="10"/>
      <c r="S32" s="10"/>
      <c r="T32" s="10"/>
      <c r="U32" s="10"/>
      <c r="V32" s="10"/>
      <c r="W32" s="10"/>
    </row>
    <row r="33" spans="1:22" x14ac:dyDescent="0.2">
      <c r="F33" s="10"/>
      <c r="G33" s="10"/>
      <c r="H33" s="10"/>
      <c r="I33" s="10"/>
      <c r="J33" s="10"/>
      <c r="K33" s="10"/>
      <c r="R33" s="10"/>
      <c r="S33" s="10"/>
      <c r="T33" s="10"/>
      <c r="U33" s="10"/>
      <c r="V33" s="10"/>
    </row>
    <row r="34" spans="1:22" x14ac:dyDescent="0.2">
      <c r="A34" s="1" t="s">
        <v>137</v>
      </c>
      <c r="C34" s="78">
        <f>C11-C32</f>
        <v>0</v>
      </c>
      <c r="D34" s="141"/>
      <c r="F34" s="10" t="s">
        <v>137</v>
      </c>
      <c r="G34" s="10"/>
      <c r="H34" s="10"/>
      <c r="I34" s="10"/>
      <c r="J34" s="10"/>
      <c r="K34" s="78">
        <f>K16-K18</f>
        <v>0</v>
      </c>
      <c r="R34" s="10"/>
      <c r="S34" s="67"/>
      <c r="T34" s="10"/>
      <c r="U34" s="10"/>
      <c r="V34" s="10"/>
    </row>
    <row r="35" spans="1:22" x14ac:dyDescent="0.2">
      <c r="F35" s="10" t="s">
        <v>138</v>
      </c>
      <c r="G35" s="10"/>
      <c r="H35" s="10"/>
      <c r="I35" s="10"/>
      <c r="J35" s="10"/>
      <c r="K35" s="449">
        <v>0.17499999999999999</v>
      </c>
      <c r="R35" s="10"/>
      <c r="S35" s="10"/>
      <c r="T35" s="10"/>
      <c r="U35" s="10"/>
      <c r="V35" s="10"/>
    </row>
    <row r="36" spans="1:22" x14ac:dyDescent="0.2">
      <c r="A36" s="1" t="s">
        <v>112</v>
      </c>
      <c r="C36" s="78">
        <f>IF(C34=0,0,U8)</f>
        <v>0</v>
      </c>
      <c r="D36" s="141"/>
      <c r="R36" s="10"/>
      <c r="T36" s="10"/>
      <c r="U36" s="10"/>
      <c r="V36" s="10"/>
    </row>
    <row r="37" spans="1:22" x14ac:dyDescent="0.2">
      <c r="A37" s="1" t="s">
        <v>212</v>
      </c>
      <c r="C37" s="1">
        <v>0</v>
      </c>
      <c r="F37" s="10" t="s">
        <v>139</v>
      </c>
      <c r="G37" s="10"/>
      <c r="H37" s="10"/>
      <c r="I37" s="10"/>
      <c r="J37" s="10"/>
      <c r="K37" s="78">
        <f>+ROUND(K34*K35,2)</f>
        <v>0</v>
      </c>
      <c r="R37" s="10"/>
      <c r="T37" s="10"/>
      <c r="U37" s="10"/>
      <c r="V37" s="10"/>
    </row>
    <row r="38" spans="1:22" x14ac:dyDescent="0.2">
      <c r="A38" s="1" t="s">
        <v>213</v>
      </c>
      <c r="C38" s="77">
        <v>0</v>
      </c>
      <c r="D38" s="144" t="s">
        <v>47</v>
      </c>
      <c r="F38" s="15" t="s">
        <v>140</v>
      </c>
      <c r="U38" s="10"/>
    </row>
    <row r="39" spans="1:22" x14ac:dyDescent="0.2">
      <c r="U39" s="10"/>
    </row>
    <row r="40" spans="1:22" x14ac:dyDescent="0.2">
      <c r="B40" s="62" t="s">
        <v>214</v>
      </c>
      <c r="C40" s="145">
        <f>IF(C38&gt;C36,0,C36-C38)</f>
        <v>0</v>
      </c>
      <c r="D40" s="141"/>
      <c r="F40" s="1" t="s">
        <v>215</v>
      </c>
      <c r="J40" s="62"/>
      <c r="K40" s="37">
        <v>0</v>
      </c>
      <c r="L40" s="15" t="s">
        <v>47</v>
      </c>
      <c r="U40" s="10"/>
    </row>
    <row r="41" spans="1:22" x14ac:dyDescent="0.2">
      <c r="F41" s="1" t="s">
        <v>141</v>
      </c>
      <c r="K41" s="82">
        <f>IF(C38&gt;C36,C38,C36)</f>
        <v>0</v>
      </c>
      <c r="U41" s="10"/>
    </row>
    <row r="42" spans="1:22" x14ac:dyDescent="0.2">
      <c r="U42" s="10"/>
    </row>
    <row r="43" spans="1:22" x14ac:dyDescent="0.2">
      <c r="F43" s="1" t="s">
        <v>208</v>
      </c>
      <c r="K43" s="393">
        <f>IF((K40+K41)&gt;K37,0,K37-K40-K41)</f>
        <v>0</v>
      </c>
      <c r="U43" s="10"/>
    </row>
    <row r="44" spans="1:22" ht="13.5" thickBo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U44" s="10"/>
    </row>
    <row r="45" spans="1:22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U45" s="10"/>
    </row>
    <row r="46" spans="1:22" x14ac:dyDescent="0.2">
      <c r="C46" s="133" t="s">
        <v>192</v>
      </c>
      <c r="D46" s="146"/>
      <c r="U46" s="10"/>
    </row>
    <row r="47" spans="1:22" x14ac:dyDescent="0.2">
      <c r="A47" s="1" t="s">
        <v>604</v>
      </c>
      <c r="C47" s="77">
        <v>0</v>
      </c>
      <c r="D47" s="144" t="s">
        <v>47</v>
      </c>
      <c r="U47" s="10"/>
    </row>
    <row r="48" spans="1:22" x14ac:dyDescent="0.2">
      <c r="A48" s="1" t="s">
        <v>605</v>
      </c>
      <c r="C48" s="77">
        <v>0</v>
      </c>
      <c r="D48" s="144" t="s">
        <v>47</v>
      </c>
      <c r="U48" s="10"/>
    </row>
    <row r="49" spans="1:21" x14ac:dyDescent="0.2">
      <c r="A49" s="1" t="s">
        <v>195</v>
      </c>
      <c r="C49" s="77">
        <v>0</v>
      </c>
      <c r="D49" s="144" t="s">
        <v>47</v>
      </c>
      <c r="U49" s="10"/>
    </row>
    <row r="50" spans="1:21" x14ac:dyDescent="0.2">
      <c r="A50" s="1" t="s">
        <v>196</v>
      </c>
      <c r="C50" s="77">
        <v>0</v>
      </c>
      <c r="D50" s="144" t="s">
        <v>47</v>
      </c>
      <c r="U50" s="10"/>
    </row>
    <row r="51" spans="1:21" x14ac:dyDescent="0.2">
      <c r="A51" s="1" t="s">
        <v>193</v>
      </c>
      <c r="C51" s="77">
        <v>0</v>
      </c>
      <c r="D51" s="144" t="s">
        <v>47</v>
      </c>
      <c r="U51" s="10"/>
    </row>
    <row r="52" spans="1:21" x14ac:dyDescent="0.2">
      <c r="A52" s="1" t="s">
        <v>194</v>
      </c>
      <c r="C52" s="77">
        <v>0</v>
      </c>
      <c r="D52" s="144" t="s">
        <v>47</v>
      </c>
      <c r="U52" s="10"/>
    </row>
    <row r="53" spans="1:21" ht="13.5" thickBot="1" x14ac:dyDescent="0.25">
      <c r="C53" s="81"/>
      <c r="D53" s="144"/>
      <c r="U53" s="10"/>
    </row>
    <row r="54" spans="1:21" ht="13.5" thickBot="1" x14ac:dyDescent="0.25">
      <c r="B54" s="15" t="s">
        <v>204</v>
      </c>
      <c r="C54" s="51">
        <f>SUM(C47:C53)</f>
        <v>0</v>
      </c>
      <c r="D54" s="144"/>
      <c r="U54" s="10"/>
    </row>
    <row r="55" spans="1:21" x14ac:dyDescent="0.2">
      <c r="C55" s="15"/>
      <c r="D55" s="147"/>
      <c r="U55" s="10"/>
    </row>
    <row r="56" spans="1:21" x14ac:dyDescent="0.2">
      <c r="A56" s="1" t="s">
        <v>197</v>
      </c>
      <c r="C56" s="78">
        <f>ROUND(C47*0.16,2)+ROUND(C48*0.11,2)+ROUND(C51*0.15,2)+ROUND(C52*0.1,2)</f>
        <v>0</v>
      </c>
      <c r="D56" s="147"/>
      <c r="U56" s="10"/>
    </row>
    <row r="57" spans="1:21" x14ac:dyDescent="0.2">
      <c r="C57" s="15"/>
      <c r="D57" s="147"/>
      <c r="U57" s="10"/>
    </row>
    <row r="58" spans="1:21" x14ac:dyDescent="0.2">
      <c r="A58" s="1" t="s">
        <v>198</v>
      </c>
      <c r="C58" s="77">
        <v>0</v>
      </c>
      <c r="D58" s="144" t="s">
        <v>47</v>
      </c>
      <c r="U58" s="10"/>
    </row>
    <row r="59" spans="1:21" x14ac:dyDescent="0.2">
      <c r="A59" s="1" t="s">
        <v>199</v>
      </c>
      <c r="C59" s="15"/>
      <c r="D59" s="147"/>
      <c r="U59" s="10"/>
    </row>
    <row r="60" spans="1:21" x14ac:dyDescent="0.2">
      <c r="A60" s="1" t="s">
        <v>200</v>
      </c>
      <c r="C60" s="77">
        <v>0</v>
      </c>
      <c r="D60" s="144" t="s">
        <v>47</v>
      </c>
      <c r="U60" s="10"/>
    </row>
    <row r="61" spans="1:21" x14ac:dyDescent="0.2">
      <c r="C61" s="15"/>
      <c r="D61" s="147"/>
      <c r="U61" s="10"/>
    </row>
    <row r="62" spans="1:21" x14ac:dyDescent="0.2">
      <c r="A62" s="1" t="s">
        <v>201</v>
      </c>
      <c r="C62" s="78">
        <f>IF(C56&gt;(C58+C60),C56-C58-C60,0)</f>
        <v>0</v>
      </c>
      <c r="D62" s="147"/>
      <c r="U62" s="10"/>
    </row>
    <row r="63" spans="1:21" x14ac:dyDescent="0.2">
      <c r="A63" s="1" t="s">
        <v>202</v>
      </c>
      <c r="C63" s="78">
        <f>IF(C56&lt;(C58+C60),C58+C60-C56,0)</f>
        <v>0</v>
      </c>
      <c r="D63" s="147"/>
      <c r="U63" s="10"/>
    </row>
    <row r="64" spans="1:21" x14ac:dyDescent="0.2">
      <c r="C64" s="15"/>
      <c r="D64" s="147"/>
      <c r="U64" s="10"/>
    </row>
    <row r="65" spans="1:21" x14ac:dyDescent="0.2">
      <c r="A65" s="1" t="s">
        <v>203</v>
      </c>
      <c r="C65" s="77">
        <v>0</v>
      </c>
      <c r="D65" s="144" t="s">
        <v>47</v>
      </c>
      <c r="U65" s="10"/>
    </row>
    <row r="66" spans="1:21" x14ac:dyDescent="0.2">
      <c r="C66" s="15"/>
      <c r="D66" s="147"/>
      <c r="U66" s="10"/>
    </row>
    <row r="67" spans="1:21" x14ac:dyDescent="0.2">
      <c r="A67" s="1" t="s">
        <v>205</v>
      </c>
      <c r="C67" s="131">
        <f>IF(C62&gt;C65,C62-C65,0)</f>
        <v>0</v>
      </c>
      <c r="D67" s="147"/>
      <c r="U67" s="10"/>
    </row>
    <row r="68" spans="1:21" x14ac:dyDescent="0.2">
      <c r="U68" s="10"/>
    </row>
    <row r="69" spans="1:21" x14ac:dyDescent="0.2">
      <c r="U69" s="10"/>
    </row>
    <row r="70" spans="1:21" x14ac:dyDescent="0.2">
      <c r="U70" s="10"/>
    </row>
    <row r="71" spans="1:21" x14ac:dyDescent="0.2">
      <c r="U71" s="10"/>
    </row>
    <row r="72" spans="1:21" x14ac:dyDescent="0.2">
      <c r="U72" s="10"/>
    </row>
    <row r="73" spans="1:21" x14ac:dyDescent="0.2">
      <c r="U73" s="10"/>
    </row>
    <row r="74" spans="1:21" x14ac:dyDescent="0.2">
      <c r="U74" s="10"/>
    </row>
    <row r="75" spans="1:21" x14ac:dyDescent="0.2">
      <c r="U75" s="10"/>
    </row>
    <row r="76" spans="1:21" x14ac:dyDescent="0.2">
      <c r="U76" s="10"/>
    </row>
    <row r="77" spans="1:21" x14ac:dyDescent="0.2">
      <c r="U77" s="10"/>
    </row>
    <row r="78" spans="1:21" x14ac:dyDescent="0.2">
      <c r="U78" s="10"/>
    </row>
    <row r="79" spans="1:21" x14ac:dyDescent="0.2">
      <c r="U79" s="10"/>
    </row>
    <row r="80" spans="1:21" x14ac:dyDescent="0.2">
      <c r="U80" s="10"/>
    </row>
    <row r="81" spans="21:21" x14ac:dyDescent="0.2">
      <c r="U81" s="10"/>
    </row>
    <row r="82" spans="21:21" x14ac:dyDescent="0.2">
      <c r="U82" s="10"/>
    </row>
    <row r="83" spans="21:21" x14ac:dyDescent="0.2">
      <c r="U83" s="10"/>
    </row>
    <row r="84" spans="21:21" x14ac:dyDescent="0.2">
      <c r="U84" s="10"/>
    </row>
    <row r="85" spans="21:21" x14ac:dyDescent="0.2">
      <c r="U85" s="10"/>
    </row>
    <row r="86" spans="21:21" x14ac:dyDescent="0.2">
      <c r="U86" s="10"/>
    </row>
    <row r="87" spans="21:21" x14ac:dyDescent="0.2">
      <c r="U87" s="10"/>
    </row>
    <row r="88" spans="21:21" x14ac:dyDescent="0.2">
      <c r="U88" s="10"/>
    </row>
    <row r="89" spans="21:21" x14ac:dyDescent="0.2">
      <c r="U89" s="10"/>
    </row>
    <row r="90" spans="21:21" x14ac:dyDescent="0.2">
      <c r="U90" s="10"/>
    </row>
    <row r="91" spans="21:21" x14ac:dyDescent="0.2">
      <c r="U91" s="10"/>
    </row>
    <row r="92" spans="21:21" x14ac:dyDescent="0.2">
      <c r="U92" s="10"/>
    </row>
    <row r="93" spans="21:21" x14ac:dyDescent="0.2">
      <c r="U93" s="10"/>
    </row>
    <row r="94" spans="21:21" x14ac:dyDescent="0.2">
      <c r="U94" s="10"/>
    </row>
    <row r="95" spans="21:21" x14ac:dyDescent="0.2">
      <c r="U95" s="10"/>
    </row>
    <row r="96" spans="21:21" x14ac:dyDescent="0.2">
      <c r="U96" s="10"/>
    </row>
    <row r="97" spans="21:21" x14ac:dyDescent="0.2">
      <c r="U97" s="10"/>
    </row>
    <row r="98" spans="21:21" x14ac:dyDescent="0.2">
      <c r="U98" s="10"/>
    </row>
    <row r="99" spans="21:21" x14ac:dyDescent="0.2">
      <c r="U99" s="10"/>
    </row>
    <row r="100" spans="21:21" x14ac:dyDescent="0.2">
      <c r="U100" s="10"/>
    </row>
    <row r="101" spans="21:21" x14ac:dyDescent="0.2">
      <c r="U101" s="10"/>
    </row>
    <row r="102" spans="21:21" x14ac:dyDescent="0.2">
      <c r="U102" s="10"/>
    </row>
    <row r="103" spans="21:21" x14ac:dyDescent="0.2">
      <c r="U103" s="10"/>
    </row>
    <row r="104" spans="21:21" x14ac:dyDescent="0.2">
      <c r="U104" s="10"/>
    </row>
    <row r="105" spans="21:21" x14ac:dyDescent="0.2">
      <c r="U105" s="10"/>
    </row>
    <row r="106" spans="21:21" x14ac:dyDescent="0.2">
      <c r="U106" s="10"/>
    </row>
    <row r="107" spans="21:21" x14ac:dyDescent="0.2">
      <c r="U107" s="10"/>
    </row>
  </sheetData>
  <sheetProtection sheet="1" objects="1" scenarios="1"/>
  <phoneticPr fontId="22" type="noConversion"/>
  <hyperlinks>
    <hyperlink ref="H1" location="'Menú Principa'!A1" display="'Menú Principa'!A1"/>
  </hyperlinks>
  <pageMargins left="0.67" right="0.5" top="0.25" bottom="0.25" header="0" footer="0"/>
  <pageSetup scale="70" orientation="landscape" horizontalDpi="4294967294" r:id="rId1"/>
  <headerFooter alignWithMargins="0"/>
  <ignoredErrors>
    <ignoredError sqref="F19:F20" unlockedFormula="1"/>
  </ignoredError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>
    <pageSetUpPr fitToPage="1"/>
  </sheetPr>
  <dimension ref="A1:BS199"/>
  <sheetViews>
    <sheetView showGridLines="0" showRowColHeaders="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F1" sqref="F1"/>
    </sheetView>
  </sheetViews>
  <sheetFormatPr baseColWidth="10" defaultColWidth="11.42578125" defaultRowHeight="12.75" x14ac:dyDescent="0.2"/>
  <cols>
    <col min="1" max="1" width="37.28515625" customWidth="1"/>
    <col min="2" max="2" width="2.42578125" customWidth="1"/>
    <col min="3" max="15" width="13.85546875" customWidth="1"/>
    <col min="59" max="59" width="18.140625" customWidth="1"/>
  </cols>
  <sheetData>
    <row r="1" spans="1:71" x14ac:dyDescent="0.2">
      <c r="A1" s="30" t="s">
        <v>296</v>
      </c>
      <c r="B1" s="31"/>
      <c r="C1" s="31"/>
      <c r="D1" s="31"/>
      <c r="E1" s="1"/>
      <c r="F1" s="24" t="s">
        <v>56</v>
      </c>
      <c r="G1" s="1"/>
      <c r="H1" s="1"/>
      <c r="I1" s="1"/>
      <c r="J1" s="1"/>
      <c r="K1" s="1"/>
      <c r="L1" s="1"/>
      <c r="M1" s="1"/>
      <c r="N1" s="1"/>
    </row>
    <row r="2" spans="1:71" x14ac:dyDescent="0.2">
      <c r="A2" s="470" t="str">
        <f>Honorarios!A2</f>
        <v>Ejercicio Fiscal de 2010</v>
      </c>
      <c r="B2" s="31"/>
      <c r="C2" s="31"/>
      <c r="D2" s="31"/>
      <c r="E2" s="10"/>
      <c r="F2" s="1"/>
      <c r="G2" s="24"/>
      <c r="H2" s="28"/>
      <c r="I2" s="1"/>
      <c r="J2" s="1"/>
      <c r="K2" s="1"/>
      <c r="L2" s="1"/>
      <c r="M2" s="1"/>
      <c r="N2" s="1"/>
    </row>
    <row r="3" spans="1:71" ht="12.75" customHeight="1" x14ac:dyDescent="0.2">
      <c r="A3" s="30"/>
      <c r="B3" s="31"/>
      <c r="C3" s="31"/>
      <c r="D3" s="31"/>
      <c r="E3" s="10"/>
      <c r="F3" s="23"/>
      <c r="G3" s="24"/>
      <c r="H3" s="28"/>
      <c r="I3" s="1"/>
      <c r="J3" s="1"/>
      <c r="K3" s="1"/>
      <c r="L3" s="1"/>
      <c r="M3" s="1"/>
      <c r="N3" s="1"/>
    </row>
    <row r="4" spans="1:71" ht="12.75" customHeight="1" x14ac:dyDescent="0.2">
      <c r="A4" s="156" t="s">
        <v>221</v>
      </c>
      <c r="B4" s="249"/>
      <c r="C4" s="256">
        <v>1</v>
      </c>
      <c r="D4" s="31"/>
      <c r="E4" s="10"/>
      <c r="F4" s="24"/>
      <c r="G4" s="24"/>
      <c r="H4" s="28"/>
      <c r="I4" s="1"/>
      <c r="J4" s="1"/>
      <c r="K4" s="1"/>
      <c r="L4" s="1"/>
      <c r="M4" s="1"/>
      <c r="N4" s="1"/>
      <c r="BH4" s="100" t="s">
        <v>143</v>
      </c>
      <c r="BI4" s="100" t="s">
        <v>144</v>
      </c>
      <c r="BJ4" s="100" t="s">
        <v>145</v>
      </c>
      <c r="BK4" s="100" t="s">
        <v>146</v>
      </c>
      <c r="BL4" s="100" t="s">
        <v>147</v>
      </c>
      <c r="BM4" s="100" t="s">
        <v>148</v>
      </c>
      <c r="BN4" s="100" t="s">
        <v>149</v>
      </c>
      <c r="BO4" s="100" t="s">
        <v>150</v>
      </c>
      <c r="BP4" s="100" t="s">
        <v>151</v>
      </c>
      <c r="BQ4" s="100" t="s">
        <v>152</v>
      </c>
      <c r="BR4" s="100" t="s">
        <v>153</v>
      </c>
      <c r="BS4" s="100" t="s">
        <v>154</v>
      </c>
    </row>
    <row r="5" spans="1:71" ht="12.75" customHeight="1" x14ac:dyDescent="0.2">
      <c r="A5" s="134" t="s">
        <v>190</v>
      </c>
      <c r="B5" s="257"/>
      <c r="C5" s="212" t="s">
        <v>136</v>
      </c>
      <c r="D5" s="206"/>
      <c r="E5" s="206"/>
      <c r="F5" s="207"/>
      <c r="G5" s="129"/>
      <c r="H5" s="28"/>
      <c r="I5" s="1"/>
      <c r="J5" s="1"/>
      <c r="K5" s="1"/>
      <c r="L5" s="1"/>
      <c r="M5" s="1"/>
      <c r="N5" s="1"/>
    </row>
    <row r="6" spans="1:71" ht="12.75" customHeight="1" x14ac:dyDescent="0.2">
      <c r="A6" s="134" t="s">
        <v>216</v>
      </c>
      <c r="B6" s="257"/>
      <c r="C6" s="212" t="s">
        <v>136</v>
      </c>
      <c r="D6" s="206"/>
      <c r="E6" s="206"/>
      <c r="F6" s="207"/>
      <c r="G6" s="129"/>
      <c r="H6" s="28"/>
      <c r="I6" s="1"/>
      <c r="J6" s="1"/>
      <c r="K6" s="1"/>
      <c r="L6" s="1"/>
      <c r="M6" s="1"/>
      <c r="N6" s="1"/>
      <c r="BG6" s="1" t="s">
        <v>8</v>
      </c>
      <c r="BH6" s="247">
        <f t="shared" ref="BH6:BS6" si="0">C18</f>
        <v>0</v>
      </c>
      <c r="BI6" s="247">
        <f t="shared" si="0"/>
        <v>0</v>
      </c>
      <c r="BJ6" s="247">
        <f t="shared" si="0"/>
        <v>0</v>
      </c>
      <c r="BK6" s="247">
        <f t="shared" si="0"/>
        <v>0</v>
      </c>
      <c r="BL6" s="247">
        <f t="shared" si="0"/>
        <v>0</v>
      </c>
      <c r="BM6" s="247">
        <f t="shared" si="0"/>
        <v>0</v>
      </c>
      <c r="BN6" s="247">
        <f t="shared" si="0"/>
        <v>0</v>
      </c>
      <c r="BO6" s="247">
        <f t="shared" si="0"/>
        <v>0</v>
      </c>
      <c r="BP6" s="247">
        <f t="shared" si="0"/>
        <v>0</v>
      </c>
      <c r="BQ6" s="247">
        <f t="shared" si="0"/>
        <v>0</v>
      </c>
      <c r="BR6" s="247">
        <f t="shared" si="0"/>
        <v>0</v>
      </c>
      <c r="BS6" s="247">
        <f t="shared" si="0"/>
        <v>0</v>
      </c>
    </row>
    <row r="7" spans="1:71" ht="12.75" customHeight="1" x14ac:dyDescent="0.2">
      <c r="A7" s="134" t="s">
        <v>464</v>
      </c>
      <c r="B7" s="257"/>
      <c r="C7" s="212" t="s">
        <v>136</v>
      </c>
      <c r="D7" s="206"/>
      <c r="E7" s="206"/>
      <c r="F7" s="207"/>
      <c r="G7" s="129"/>
      <c r="H7" s="28"/>
      <c r="I7" s="1"/>
      <c r="J7" s="1"/>
      <c r="K7" s="1"/>
      <c r="L7" s="1"/>
      <c r="M7" s="1"/>
      <c r="N7" s="1"/>
      <c r="BG7" s="1" t="s">
        <v>9</v>
      </c>
      <c r="BH7" s="3" t="e">
        <f>VLOOKUP(BH$6,Tarifa1,1)</f>
        <v>#N/A</v>
      </c>
      <c r="BI7" s="3" t="e">
        <f>VLOOKUP(BI$6,Tarifa2,1)</f>
        <v>#N/A</v>
      </c>
      <c r="BJ7" s="3" t="e">
        <f>VLOOKUP(BJ$6,Tarifa3,1)</f>
        <v>#N/A</v>
      </c>
      <c r="BK7" s="3" t="e">
        <f>VLOOKUP(BK$6,Tarifa4,1)</f>
        <v>#N/A</v>
      </c>
      <c r="BL7" s="3" t="e">
        <f>VLOOKUP(BL$6,Tarifa5,1)</f>
        <v>#N/A</v>
      </c>
      <c r="BM7" s="3" t="e">
        <f>VLOOKUP(BM$6,Tarifa6,1)</f>
        <v>#N/A</v>
      </c>
      <c r="BN7" s="3" t="e">
        <f>VLOOKUP(BN$6,Tarifa7,1)</f>
        <v>#N/A</v>
      </c>
      <c r="BO7" s="3" t="e">
        <f>VLOOKUP(BO$6,Tarifa8,1)</f>
        <v>#N/A</v>
      </c>
      <c r="BP7" s="3" t="e">
        <f>VLOOKUP(BP$6,Tarifa9,1)</f>
        <v>#N/A</v>
      </c>
      <c r="BQ7" s="3" t="e">
        <f>VLOOKUP(BQ$6,Tarifa10,1)</f>
        <v>#N/A</v>
      </c>
      <c r="BR7" s="3" t="e">
        <f>VLOOKUP(BR$6,Tarifa11,1)</f>
        <v>#N/A</v>
      </c>
      <c r="BS7" s="3" t="e">
        <f>VLOOKUP(BS$6,Tarifa12,1)</f>
        <v>#N/A</v>
      </c>
    </row>
    <row r="8" spans="1:71" ht="12.75" customHeight="1" x14ac:dyDescent="0.2">
      <c r="A8" s="259"/>
      <c r="B8" s="260"/>
      <c r="C8" s="261"/>
      <c r="D8" s="262"/>
      <c r="E8" s="262"/>
      <c r="F8" s="263"/>
      <c r="G8" s="243"/>
      <c r="H8" s="28"/>
      <c r="I8" s="1"/>
      <c r="J8" s="1"/>
      <c r="K8" s="1"/>
      <c r="L8" s="1"/>
      <c r="M8" s="1"/>
      <c r="N8" s="1"/>
      <c r="BG8" s="1" t="s">
        <v>10</v>
      </c>
      <c r="BH8" s="247" t="e">
        <f>+BH6-BH7</f>
        <v>#N/A</v>
      </c>
      <c r="BI8" s="247" t="e">
        <f t="shared" ref="BI8:BS8" si="1">+BI6-BI7</f>
        <v>#N/A</v>
      </c>
      <c r="BJ8" s="247" t="e">
        <f t="shared" si="1"/>
        <v>#N/A</v>
      </c>
      <c r="BK8" s="247" t="e">
        <f t="shared" si="1"/>
        <v>#N/A</v>
      </c>
      <c r="BL8" s="247" t="e">
        <f t="shared" si="1"/>
        <v>#N/A</v>
      </c>
      <c r="BM8" s="247" t="e">
        <f t="shared" si="1"/>
        <v>#N/A</v>
      </c>
      <c r="BN8" s="247" t="e">
        <f t="shared" si="1"/>
        <v>#N/A</v>
      </c>
      <c r="BO8" s="247" t="e">
        <f t="shared" si="1"/>
        <v>#N/A</v>
      </c>
      <c r="BP8" s="247" t="e">
        <f t="shared" si="1"/>
        <v>#N/A</v>
      </c>
      <c r="BQ8" s="247" t="e">
        <f t="shared" si="1"/>
        <v>#N/A</v>
      </c>
      <c r="BR8" s="247" t="e">
        <f t="shared" si="1"/>
        <v>#N/A</v>
      </c>
      <c r="BS8" s="247" t="e">
        <f t="shared" si="1"/>
        <v>#N/A</v>
      </c>
    </row>
    <row r="9" spans="1:71" ht="12.75" customHeight="1" x14ac:dyDescent="0.2">
      <c r="C9" s="163" t="s">
        <v>143</v>
      </c>
      <c r="D9" s="163" t="s">
        <v>144</v>
      </c>
      <c r="E9" s="163" t="s">
        <v>145</v>
      </c>
      <c r="F9" s="163" t="s">
        <v>146</v>
      </c>
      <c r="G9" s="163" t="s">
        <v>147</v>
      </c>
      <c r="H9" s="163" t="s">
        <v>148</v>
      </c>
      <c r="I9" s="163" t="s">
        <v>149</v>
      </c>
      <c r="J9" s="163" t="s">
        <v>150</v>
      </c>
      <c r="K9" s="163" t="s">
        <v>151</v>
      </c>
      <c r="L9" s="163" t="s">
        <v>152</v>
      </c>
      <c r="M9" s="163" t="s">
        <v>153</v>
      </c>
      <c r="N9" s="163" t="s">
        <v>154</v>
      </c>
      <c r="O9" s="250" t="s">
        <v>282</v>
      </c>
      <c r="BG9" s="1" t="s">
        <v>11</v>
      </c>
      <c r="BH9" s="73" t="e">
        <f>VLOOKUP(BH$6,Tarifa1,4)</f>
        <v>#N/A</v>
      </c>
      <c r="BI9" s="73" t="e">
        <f>VLOOKUP(BI$6,Tarifa2,4)</f>
        <v>#N/A</v>
      </c>
      <c r="BJ9" s="73" t="e">
        <f>VLOOKUP(BJ$6,Tarifa3,4)</f>
        <v>#N/A</v>
      </c>
      <c r="BK9" s="73" t="e">
        <f>VLOOKUP(BK$6,Tarifa4,4)</f>
        <v>#N/A</v>
      </c>
      <c r="BL9" s="73" t="e">
        <f>VLOOKUP(BL$6,Tarifa5,4)</f>
        <v>#N/A</v>
      </c>
      <c r="BM9" s="73" t="e">
        <f>VLOOKUP(BM$6,Tarifa6,4)</f>
        <v>#N/A</v>
      </c>
      <c r="BN9" s="73" t="e">
        <f>VLOOKUP(BN$6,Tarifa7,4)</f>
        <v>#N/A</v>
      </c>
      <c r="BO9" s="73" t="e">
        <f>VLOOKUP(BO$6,Tarifa8,4)</f>
        <v>#N/A</v>
      </c>
      <c r="BP9" s="73" t="e">
        <f>VLOOKUP(BP$6,Tarifa9,4)</f>
        <v>#N/A</v>
      </c>
      <c r="BQ9" s="73" t="e">
        <f>VLOOKUP(BQ$6,Tarifa10,4)</f>
        <v>#N/A</v>
      </c>
      <c r="BR9" s="73" t="e">
        <f>VLOOKUP(BR$6,Tarifa11,4)</f>
        <v>#N/A</v>
      </c>
      <c r="BS9" s="73" t="e">
        <f>VLOOKUP(BS$6,Tarifa12,4)</f>
        <v>#N/A</v>
      </c>
    </row>
    <row r="10" spans="1:71" ht="12.75" customHeight="1" x14ac:dyDescent="0.2">
      <c r="BG10" s="1" t="s">
        <v>12</v>
      </c>
      <c r="BH10" s="1" t="e">
        <f>ROUND(BH8*BH9,2)</f>
        <v>#N/A</v>
      </c>
      <c r="BI10" s="1" t="e">
        <f t="shared" ref="BI10:BS10" si="2">ROUND(BI8*BI9,2)</f>
        <v>#N/A</v>
      </c>
      <c r="BJ10" s="1" t="e">
        <f t="shared" si="2"/>
        <v>#N/A</v>
      </c>
      <c r="BK10" s="1" t="e">
        <f t="shared" si="2"/>
        <v>#N/A</v>
      </c>
      <c r="BL10" s="1" t="e">
        <f t="shared" si="2"/>
        <v>#N/A</v>
      </c>
      <c r="BM10" s="1" t="e">
        <f t="shared" si="2"/>
        <v>#N/A</v>
      </c>
      <c r="BN10" s="1" t="e">
        <f t="shared" si="2"/>
        <v>#N/A</v>
      </c>
      <c r="BO10" s="1" t="e">
        <f t="shared" si="2"/>
        <v>#N/A</v>
      </c>
      <c r="BP10" s="1" t="e">
        <f t="shared" si="2"/>
        <v>#N/A</v>
      </c>
      <c r="BQ10" s="1" t="e">
        <f t="shared" si="2"/>
        <v>#N/A</v>
      </c>
      <c r="BR10" s="1" t="e">
        <f t="shared" si="2"/>
        <v>#N/A</v>
      </c>
      <c r="BS10" s="1" t="e">
        <f t="shared" si="2"/>
        <v>#N/A</v>
      </c>
    </row>
    <row r="11" spans="1:71" ht="12.75" customHeight="1" x14ac:dyDescent="0.2">
      <c r="A11" s="552" t="s">
        <v>281</v>
      </c>
      <c r="B11" s="552"/>
      <c r="C11" s="552"/>
      <c r="D11" s="552"/>
      <c r="E11" s="552"/>
      <c r="F11" s="552"/>
      <c r="G11" s="552"/>
      <c r="H11" s="552"/>
      <c r="I11" s="552"/>
      <c r="J11" s="552"/>
      <c r="K11" s="552"/>
      <c r="L11" s="552"/>
      <c r="M11" s="552"/>
      <c r="N11" s="552"/>
      <c r="BG11" s="1" t="s">
        <v>13</v>
      </c>
      <c r="BH11" s="3" t="e">
        <f>VLOOKUP(BH$6,Tarifa1,3)</f>
        <v>#N/A</v>
      </c>
      <c r="BI11" s="3" t="e">
        <f>VLOOKUP(BI$6,Tarifa2,3)</f>
        <v>#N/A</v>
      </c>
      <c r="BJ11" s="3" t="e">
        <f>VLOOKUP(BJ$6,Tarifa3,3)</f>
        <v>#N/A</v>
      </c>
      <c r="BK11" s="3" t="e">
        <f>VLOOKUP(BK$6,Tarifa4,3)</f>
        <v>#N/A</v>
      </c>
      <c r="BL11" s="3" t="e">
        <f>VLOOKUP(BL$6,Tarifa5,3)</f>
        <v>#N/A</v>
      </c>
      <c r="BM11" s="3" t="e">
        <f>VLOOKUP(BM$6,Tarifa6,3)</f>
        <v>#N/A</v>
      </c>
      <c r="BN11" s="3" t="e">
        <f>VLOOKUP(BN$6,Tarifa7,3)</f>
        <v>#N/A</v>
      </c>
      <c r="BO11" s="3" t="e">
        <f>VLOOKUP(BO$6,Tarifa8,3)</f>
        <v>#N/A</v>
      </c>
      <c r="BP11" s="3" t="e">
        <f>VLOOKUP(BP$6,Tarifa9,3)</f>
        <v>#N/A</v>
      </c>
      <c r="BQ11" s="3" t="e">
        <f>VLOOKUP(BQ$6,Tarifa10,3)</f>
        <v>#N/A</v>
      </c>
      <c r="BR11" s="3" t="e">
        <f>VLOOKUP(BR$6,Tarifa11,3)</f>
        <v>#N/A</v>
      </c>
      <c r="BS11" s="3" t="e">
        <f>VLOOKUP(BS$6,Tarifa12,3)</f>
        <v>#N/A</v>
      </c>
    </row>
    <row r="12" spans="1:71" ht="12.75" customHeight="1" x14ac:dyDescent="0.2">
      <c r="BG12" s="1" t="s">
        <v>14</v>
      </c>
      <c r="BH12" s="248">
        <f t="shared" ref="BH12:BS12" si="3">IF(BH6=0,0,BH10+BH11)</f>
        <v>0</v>
      </c>
      <c r="BI12" s="248">
        <f t="shared" si="3"/>
        <v>0</v>
      </c>
      <c r="BJ12" s="248">
        <f t="shared" si="3"/>
        <v>0</v>
      </c>
      <c r="BK12" s="248">
        <f t="shared" si="3"/>
        <v>0</v>
      </c>
      <c r="BL12" s="248">
        <f t="shared" si="3"/>
        <v>0</v>
      </c>
      <c r="BM12" s="248">
        <f t="shared" si="3"/>
        <v>0</v>
      </c>
      <c r="BN12" s="248">
        <f t="shared" si="3"/>
        <v>0</v>
      </c>
      <c r="BO12" s="248">
        <f t="shared" si="3"/>
        <v>0</v>
      </c>
      <c r="BP12" s="248">
        <f t="shared" si="3"/>
        <v>0</v>
      </c>
      <c r="BQ12" s="248">
        <f t="shared" si="3"/>
        <v>0</v>
      </c>
      <c r="BR12" s="248">
        <f t="shared" si="3"/>
        <v>0</v>
      </c>
      <c r="BS12" s="248">
        <f t="shared" si="3"/>
        <v>0</v>
      </c>
    </row>
    <row r="13" spans="1:71" ht="12.75" customHeight="1" x14ac:dyDescent="0.2">
      <c r="A13" s="32" t="s">
        <v>318</v>
      </c>
      <c r="B13" s="204" t="s">
        <v>47</v>
      </c>
      <c r="C13" s="254">
        <v>0</v>
      </c>
      <c r="D13" s="254">
        <v>0</v>
      </c>
      <c r="E13" s="254">
        <v>0</v>
      </c>
      <c r="F13" s="254">
        <v>0</v>
      </c>
      <c r="G13" s="254">
        <v>0</v>
      </c>
      <c r="H13" s="254">
        <v>0</v>
      </c>
      <c r="I13" s="254">
        <v>0</v>
      </c>
      <c r="J13" s="254">
        <v>0</v>
      </c>
      <c r="K13" s="254">
        <v>0</v>
      </c>
      <c r="L13" s="254">
        <v>0</v>
      </c>
      <c r="M13" s="254">
        <v>0</v>
      </c>
      <c r="N13" s="254">
        <v>0</v>
      </c>
      <c r="O13" s="275">
        <f>SUM(C13:N13)</f>
        <v>0</v>
      </c>
    </row>
    <row r="14" spans="1:71" ht="12.75" customHeight="1" x14ac:dyDescent="0.2">
      <c r="A14" s="32"/>
      <c r="B14" s="49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  <c r="N14" s="264"/>
      <c r="O14" s="265"/>
      <c r="P14" s="49"/>
    </row>
    <row r="15" spans="1:71" ht="12.75" customHeight="1" x14ac:dyDescent="0.2">
      <c r="A15" s="1" t="s">
        <v>297</v>
      </c>
      <c r="B15" s="204" t="s">
        <v>47</v>
      </c>
      <c r="C15" s="77">
        <v>0</v>
      </c>
      <c r="D15" s="77">
        <v>0</v>
      </c>
      <c r="E15" s="77">
        <v>0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  <c r="M15" s="77">
        <v>0</v>
      </c>
      <c r="N15" s="77">
        <v>0</v>
      </c>
      <c r="O15" s="104">
        <f>SUM(C15:N15)</f>
        <v>0</v>
      </c>
    </row>
    <row r="16" spans="1:71" ht="12.75" customHeight="1" x14ac:dyDescent="0.2">
      <c r="A16" s="1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224"/>
    </row>
    <row r="17" spans="1:18" ht="12.75" customHeight="1" x14ac:dyDescent="0.2">
      <c r="A17" s="32" t="s">
        <v>298</v>
      </c>
      <c r="C17" s="126">
        <f>C13-C15</f>
        <v>0</v>
      </c>
      <c r="D17" s="126">
        <f>D13-D15</f>
        <v>0</v>
      </c>
      <c r="E17" s="126">
        <f t="shared" ref="E17:N17" si="4">E13-E15</f>
        <v>0</v>
      </c>
      <c r="F17" s="126">
        <f t="shared" si="4"/>
        <v>0</v>
      </c>
      <c r="G17" s="126">
        <f t="shared" si="4"/>
        <v>0</v>
      </c>
      <c r="H17" s="126">
        <f t="shared" si="4"/>
        <v>0</v>
      </c>
      <c r="I17" s="126">
        <f t="shared" si="4"/>
        <v>0</v>
      </c>
      <c r="J17" s="126">
        <f t="shared" si="4"/>
        <v>0</v>
      </c>
      <c r="K17" s="126">
        <f t="shared" si="4"/>
        <v>0</v>
      </c>
      <c r="L17" s="126">
        <f t="shared" si="4"/>
        <v>0</v>
      </c>
      <c r="M17" s="126">
        <f t="shared" si="4"/>
        <v>0</v>
      </c>
      <c r="N17" s="126">
        <f t="shared" si="4"/>
        <v>0</v>
      </c>
      <c r="O17" s="104">
        <f>SUM(C17:N17)</f>
        <v>0</v>
      </c>
    </row>
    <row r="18" spans="1:18" ht="12.75" customHeight="1" x14ac:dyDescent="0.2">
      <c r="A18" s="32" t="s">
        <v>299</v>
      </c>
      <c r="C18" s="126">
        <f>+C17</f>
        <v>0</v>
      </c>
      <c r="D18" s="126">
        <f>+C18+D17</f>
        <v>0</v>
      </c>
      <c r="E18" s="126">
        <f t="shared" ref="E18:N18" si="5">+D18+E17</f>
        <v>0</v>
      </c>
      <c r="F18" s="126">
        <f t="shared" si="5"/>
        <v>0</v>
      </c>
      <c r="G18" s="126">
        <f t="shared" si="5"/>
        <v>0</v>
      </c>
      <c r="H18" s="126">
        <f t="shared" si="5"/>
        <v>0</v>
      </c>
      <c r="I18" s="126">
        <f t="shared" si="5"/>
        <v>0</v>
      </c>
      <c r="J18" s="126">
        <f t="shared" si="5"/>
        <v>0</v>
      </c>
      <c r="K18" s="126">
        <f t="shared" si="5"/>
        <v>0</v>
      </c>
      <c r="L18" s="126">
        <f t="shared" si="5"/>
        <v>0</v>
      </c>
      <c r="M18" s="126">
        <f t="shared" si="5"/>
        <v>0</v>
      </c>
      <c r="N18" s="126">
        <f t="shared" si="5"/>
        <v>0</v>
      </c>
      <c r="O18" s="273"/>
    </row>
    <row r="19" spans="1:18" ht="12.75" customHeight="1" x14ac:dyDescent="0.2"/>
    <row r="20" spans="1:18" ht="12.75" customHeight="1" x14ac:dyDescent="0.2">
      <c r="A20" s="66" t="s">
        <v>288</v>
      </c>
      <c r="C20" s="104">
        <f>BH12</f>
        <v>0</v>
      </c>
      <c r="D20" s="104">
        <f>BI12</f>
        <v>0</v>
      </c>
      <c r="E20" s="104">
        <f t="shared" ref="E20:N20" si="6">IF(E13=0,0,BJ12)</f>
        <v>0</v>
      </c>
      <c r="F20" s="104">
        <f t="shared" si="6"/>
        <v>0</v>
      </c>
      <c r="G20" s="104">
        <f t="shared" si="6"/>
        <v>0</v>
      </c>
      <c r="H20" s="104">
        <f t="shared" si="6"/>
        <v>0</v>
      </c>
      <c r="I20" s="104">
        <f t="shared" si="6"/>
        <v>0</v>
      </c>
      <c r="J20" s="104">
        <f t="shared" si="6"/>
        <v>0</v>
      </c>
      <c r="K20" s="104">
        <f t="shared" si="6"/>
        <v>0</v>
      </c>
      <c r="L20" s="104">
        <f t="shared" si="6"/>
        <v>0</v>
      </c>
      <c r="M20" s="104">
        <f t="shared" si="6"/>
        <v>0</v>
      </c>
      <c r="N20" s="104">
        <f t="shared" si="6"/>
        <v>0</v>
      </c>
      <c r="O20" s="274"/>
    </row>
    <row r="21" spans="1:18" ht="12.75" customHeight="1" x14ac:dyDescent="0.2">
      <c r="A21" s="32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224"/>
    </row>
    <row r="22" spans="1:18" ht="12.75" customHeight="1" x14ac:dyDescent="0.2">
      <c r="A22" s="135" t="s">
        <v>290</v>
      </c>
      <c r="C22" s="272">
        <v>0</v>
      </c>
      <c r="D22" s="78">
        <f>+C30</f>
        <v>0</v>
      </c>
      <c r="E22" s="78">
        <f>+D30</f>
        <v>0</v>
      </c>
      <c r="F22" s="78">
        <f t="shared" ref="F22:N22" si="7">+E30</f>
        <v>0</v>
      </c>
      <c r="G22" s="78">
        <f t="shared" si="7"/>
        <v>0</v>
      </c>
      <c r="H22" s="78">
        <f t="shared" si="7"/>
        <v>0</v>
      </c>
      <c r="I22" s="78">
        <f t="shared" si="7"/>
        <v>0</v>
      </c>
      <c r="J22" s="78">
        <f t="shared" si="7"/>
        <v>0</v>
      </c>
      <c r="K22" s="78">
        <f t="shared" si="7"/>
        <v>0</v>
      </c>
      <c r="L22" s="78">
        <f t="shared" si="7"/>
        <v>0</v>
      </c>
      <c r="M22" s="78">
        <f t="shared" si="7"/>
        <v>0</v>
      </c>
      <c r="N22" s="78">
        <f t="shared" si="7"/>
        <v>0</v>
      </c>
    </row>
    <row r="23" spans="1:18" ht="12.75" customHeight="1" x14ac:dyDescent="0.2"/>
    <row r="24" spans="1:18" ht="12.75" customHeight="1" x14ac:dyDescent="0.2">
      <c r="A24" s="118" t="s">
        <v>317</v>
      </c>
      <c r="C24" s="120">
        <f>C20-C22</f>
        <v>0</v>
      </c>
      <c r="D24" s="83">
        <f>+D20-D22</f>
        <v>0</v>
      </c>
      <c r="E24" s="83">
        <f>+E20-E22</f>
        <v>0</v>
      </c>
      <c r="F24" s="83">
        <f t="shared" ref="F24:N24" si="8">+F20-F22</f>
        <v>0</v>
      </c>
      <c r="G24" s="83">
        <f t="shared" si="8"/>
        <v>0</v>
      </c>
      <c r="H24" s="83">
        <f t="shared" si="8"/>
        <v>0</v>
      </c>
      <c r="I24" s="83">
        <f t="shared" si="8"/>
        <v>0</v>
      </c>
      <c r="J24" s="83">
        <f t="shared" si="8"/>
        <v>0</v>
      </c>
      <c r="K24" s="83">
        <f t="shared" si="8"/>
        <v>0</v>
      </c>
      <c r="L24" s="83">
        <f t="shared" si="8"/>
        <v>0</v>
      </c>
      <c r="M24" s="83">
        <f t="shared" si="8"/>
        <v>0</v>
      </c>
      <c r="N24" s="83">
        <f t="shared" si="8"/>
        <v>0</v>
      </c>
      <c r="O24" s="104">
        <f>SUM(C24:N24)</f>
        <v>0</v>
      </c>
      <c r="R24" s="266"/>
    </row>
    <row r="25" spans="1:18" ht="12.75" customHeight="1" x14ac:dyDescent="0.2">
      <c r="R25" s="266"/>
    </row>
    <row r="26" spans="1:18" ht="12.75" customHeight="1" x14ac:dyDescent="0.2">
      <c r="A26" s="32" t="s">
        <v>289</v>
      </c>
      <c r="B26" s="204" t="s">
        <v>47</v>
      </c>
      <c r="C26" s="77">
        <v>0</v>
      </c>
      <c r="D26" s="77">
        <v>0</v>
      </c>
      <c r="E26" s="77">
        <v>0</v>
      </c>
      <c r="F26" s="77">
        <v>0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  <c r="L26" s="77">
        <v>0</v>
      </c>
      <c r="M26" s="77">
        <v>0</v>
      </c>
      <c r="N26" s="77">
        <v>0</v>
      </c>
      <c r="O26" s="104">
        <f>SUM(C26:N26)</f>
        <v>0</v>
      </c>
      <c r="R26" s="266"/>
    </row>
    <row r="27" spans="1:18" ht="12.75" customHeight="1" x14ac:dyDescent="0.2">
      <c r="A27" s="32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224"/>
      <c r="Q27" s="266"/>
      <c r="R27" s="266"/>
    </row>
    <row r="28" spans="1:18" ht="12.75" customHeight="1" x14ac:dyDescent="0.2">
      <c r="A28" s="66" t="s">
        <v>74</v>
      </c>
      <c r="C28" s="251">
        <f>IF(C24&gt;C26,C24-C26,0)</f>
        <v>0</v>
      </c>
      <c r="D28" s="251">
        <f t="shared" ref="D28:N28" si="9">IF(D24&gt;D26,D24-D26,0)</f>
        <v>0</v>
      </c>
      <c r="E28" s="251">
        <f t="shared" si="9"/>
        <v>0</v>
      </c>
      <c r="F28" s="251">
        <f t="shared" si="9"/>
        <v>0</v>
      </c>
      <c r="G28" s="251">
        <f t="shared" si="9"/>
        <v>0</v>
      </c>
      <c r="H28" s="251">
        <f t="shared" si="9"/>
        <v>0</v>
      </c>
      <c r="I28" s="251">
        <f t="shared" si="9"/>
        <v>0</v>
      </c>
      <c r="J28" s="251">
        <f t="shared" si="9"/>
        <v>0</v>
      </c>
      <c r="K28" s="251">
        <f t="shared" si="9"/>
        <v>0</v>
      </c>
      <c r="L28" s="251">
        <f t="shared" si="9"/>
        <v>0</v>
      </c>
      <c r="M28" s="251">
        <f t="shared" si="9"/>
        <v>0</v>
      </c>
      <c r="N28" s="251">
        <f t="shared" si="9"/>
        <v>0</v>
      </c>
      <c r="O28" s="252">
        <f>SUM(C28:N28)</f>
        <v>0</v>
      </c>
      <c r="Q28" s="266"/>
    </row>
    <row r="29" spans="1:18" ht="12.75" customHeight="1" x14ac:dyDescent="0.2">
      <c r="A29" s="66" t="s">
        <v>75</v>
      </c>
      <c r="C29" s="251">
        <f>IF(C26&gt;C24,C26-C24,0)</f>
        <v>0</v>
      </c>
      <c r="D29" s="251">
        <f t="shared" ref="D29:N29" si="10">IF(D26&gt;D24,D26-D24,0)</f>
        <v>0</v>
      </c>
      <c r="E29" s="251">
        <f t="shared" si="10"/>
        <v>0</v>
      </c>
      <c r="F29" s="251">
        <f t="shared" si="10"/>
        <v>0</v>
      </c>
      <c r="G29" s="251">
        <f t="shared" si="10"/>
        <v>0</v>
      </c>
      <c r="H29" s="251">
        <f t="shared" si="10"/>
        <v>0</v>
      </c>
      <c r="I29" s="251">
        <f t="shared" si="10"/>
        <v>0</v>
      </c>
      <c r="J29" s="251">
        <f t="shared" si="10"/>
        <v>0</v>
      </c>
      <c r="K29" s="251">
        <f t="shared" si="10"/>
        <v>0</v>
      </c>
      <c r="L29" s="251">
        <f t="shared" si="10"/>
        <v>0</v>
      </c>
      <c r="M29" s="251">
        <f t="shared" si="10"/>
        <v>0</v>
      </c>
      <c r="N29" s="251">
        <f t="shared" si="10"/>
        <v>0</v>
      </c>
      <c r="O29" s="252">
        <f>SUM(C29:N29)</f>
        <v>0</v>
      </c>
      <c r="Q29" s="266"/>
    </row>
    <row r="30" spans="1:18" ht="12.75" customHeight="1" x14ac:dyDescent="0.2">
      <c r="C30" s="444">
        <f>+C28+C26</f>
        <v>0</v>
      </c>
      <c r="D30" s="444">
        <f t="shared" ref="D30:N30" si="11">+C30+D26+D28</f>
        <v>0</v>
      </c>
      <c r="E30" s="444">
        <f t="shared" si="11"/>
        <v>0</v>
      </c>
      <c r="F30" s="444">
        <f t="shared" si="11"/>
        <v>0</v>
      </c>
      <c r="G30" s="444">
        <f t="shared" si="11"/>
        <v>0</v>
      </c>
      <c r="H30" s="444">
        <f t="shared" si="11"/>
        <v>0</v>
      </c>
      <c r="I30" s="444">
        <f t="shared" si="11"/>
        <v>0</v>
      </c>
      <c r="J30" s="444">
        <f t="shared" si="11"/>
        <v>0</v>
      </c>
      <c r="K30" s="444">
        <f t="shared" si="11"/>
        <v>0</v>
      </c>
      <c r="L30" s="444">
        <f t="shared" si="11"/>
        <v>0</v>
      </c>
      <c r="M30" s="444">
        <f t="shared" si="11"/>
        <v>0</v>
      </c>
      <c r="N30" s="444">
        <f t="shared" si="11"/>
        <v>0</v>
      </c>
      <c r="O30" s="483"/>
      <c r="P30" s="483"/>
      <c r="Q30" s="266"/>
    </row>
    <row r="31" spans="1:18" ht="12.75" customHeight="1" x14ac:dyDescent="0.2">
      <c r="A31" s="395"/>
      <c r="B31" s="395"/>
      <c r="C31" s="485">
        <f>C28+C26</f>
        <v>0</v>
      </c>
      <c r="D31" s="485">
        <f t="shared" ref="D31:N31" si="12">D28+D26</f>
        <v>0</v>
      </c>
      <c r="E31" s="485">
        <f t="shared" si="12"/>
        <v>0</v>
      </c>
      <c r="F31" s="485">
        <f t="shared" si="12"/>
        <v>0</v>
      </c>
      <c r="G31" s="485">
        <f t="shared" si="12"/>
        <v>0</v>
      </c>
      <c r="H31" s="485">
        <f t="shared" si="12"/>
        <v>0</v>
      </c>
      <c r="I31" s="485">
        <f t="shared" si="12"/>
        <v>0</v>
      </c>
      <c r="J31" s="485">
        <f t="shared" si="12"/>
        <v>0</v>
      </c>
      <c r="K31" s="485">
        <f t="shared" si="12"/>
        <v>0</v>
      </c>
      <c r="L31" s="485">
        <f t="shared" si="12"/>
        <v>0</v>
      </c>
      <c r="M31" s="485">
        <f t="shared" si="12"/>
        <v>0</v>
      </c>
      <c r="N31" s="485">
        <f t="shared" si="12"/>
        <v>0</v>
      </c>
      <c r="O31" s="486"/>
      <c r="P31" s="486"/>
    </row>
    <row r="32" spans="1:18" ht="12.75" customHeight="1" x14ac:dyDescent="0.2">
      <c r="A32" s="551"/>
      <c r="B32" s="551"/>
      <c r="C32" s="551"/>
      <c r="D32" s="551"/>
      <c r="E32" s="551"/>
      <c r="F32" s="551"/>
      <c r="G32" s="551"/>
      <c r="H32" s="551"/>
      <c r="I32" s="551"/>
      <c r="J32" s="551"/>
      <c r="K32" s="551"/>
      <c r="L32" s="551"/>
      <c r="M32" s="551"/>
      <c r="N32" s="551"/>
      <c r="O32" s="467"/>
      <c r="P32" s="466"/>
    </row>
    <row r="33" spans="1:16" ht="12.75" customHeight="1" x14ac:dyDescent="0.2">
      <c r="A33" s="395"/>
      <c r="B33" s="395"/>
      <c r="C33" s="466"/>
      <c r="D33" s="466"/>
      <c r="E33" s="466"/>
      <c r="F33" s="466"/>
      <c r="G33" s="466"/>
      <c r="H33" s="466"/>
      <c r="I33" s="466"/>
      <c r="J33" s="466"/>
      <c r="K33" s="466"/>
      <c r="L33" s="466"/>
      <c r="M33" s="466"/>
      <c r="N33" s="466"/>
      <c r="O33" s="466"/>
      <c r="P33" s="466"/>
    </row>
    <row r="34" spans="1:16" ht="12.75" customHeight="1" x14ac:dyDescent="0.2">
      <c r="A34" s="405"/>
      <c r="B34" s="395"/>
      <c r="C34" s="453"/>
      <c r="D34" s="453"/>
      <c r="E34" s="453"/>
      <c r="F34" s="453"/>
      <c r="G34" s="453"/>
      <c r="H34" s="453"/>
      <c r="I34" s="453"/>
      <c r="J34" s="453"/>
      <c r="K34" s="453"/>
      <c r="L34" s="453"/>
      <c r="M34" s="453"/>
      <c r="N34" s="453"/>
      <c r="O34" s="453"/>
      <c r="P34" s="395"/>
    </row>
    <row r="35" spans="1:16" ht="12.75" customHeight="1" x14ac:dyDescent="0.2">
      <c r="A35" s="451"/>
      <c r="B35" s="395"/>
      <c r="C35" s="395"/>
      <c r="D35" s="395"/>
      <c r="E35" s="395"/>
      <c r="F35" s="395"/>
      <c r="G35" s="395"/>
      <c r="H35" s="395"/>
      <c r="I35" s="395"/>
      <c r="J35" s="395"/>
      <c r="K35" s="395"/>
      <c r="L35" s="395"/>
      <c r="M35" s="395"/>
      <c r="N35" s="395"/>
      <c r="O35" s="395"/>
      <c r="P35" s="395"/>
    </row>
    <row r="36" spans="1:16" ht="12.75" customHeight="1" x14ac:dyDescent="0.2">
      <c r="A36" s="137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  <c r="O36" s="395"/>
      <c r="P36" s="395"/>
    </row>
    <row r="37" spans="1:16" ht="12.75" customHeight="1" x14ac:dyDescent="0.2">
      <c r="A37" s="137"/>
      <c r="B37" s="454"/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452"/>
      <c r="P37" s="395"/>
    </row>
    <row r="38" spans="1:16" ht="12.75" customHeight="1" x14ac:dyDescent="0.2">
      <c r="A38" s="395"/>
      <c r="B38" s="395"/>
      <c r="C38" s="395"/>
      <c r="D38" s="395"/>
      <c r="E38" s="395"/>
      <c r="F38" s="395"/>
      <c r="G38" s="395"/>
      <c r="H38" s="395"/>
      <c r="I38" s="395"/>
      <c r="J38" s="395"/>
      <c r="K38" s="395"/>
      <c r="L38" s="395"/>
      <c r="M38" s="395"/>
      <c r="N38" s="395"/>
      <c r="O38" s="395"/>
      <c r="P38" s="395"/>
    </row>
    <row r="39" spans="1:16" ht="12.75" customHeight="1" x14ac:dyDescent="0.2">
      <c r="A39" s="455"/>
      <c r="B39" s="395"/>
      <c r="C39" s="456"/>
      <c r="D39" s="456"/>
      <c r="E39" s="456"/>
      <c r="F39" s="456"/>
      <c r="G39" s="456"/>
      <c r="H39" s="456"/>
      <c r="I39" s="456"/>
      <c r="J39" s="456"/>
      <c r="K39" s="456"/>
      <c r="L39" s="456"/>
      <c r="M39" s="456"/>
      <c r="N39" s="456"/>
      <c r="O39" s="452"/>
      <c r="P39" s="395"/>
    </row>
    <row r="40" spans="1:16" ht="12.75" customHeight="1" x14ac:dyDescent="0.2">
      <c r="A40" s="395"/>
      <c r="B40" s="395"/>
      <c r="C40" s="395"/>
      <c r="D40" s="395"/>
      <c r="E40" s="395"/>
      <c r="F40" s="395"/>
      <c r="G40" s="395"/>
      <c r="H40" s="395"/>
      <c r="I40" s="395"/>
      <c r="J40" s="395"/>
      <c r="K40" s="395"/>
      <c r="L40" s="395"/>
      <c r="M40" s="395"/>
      <c r="N40" s="395"/>
      <c r="O40" s="395"/>
      <c r="P40" s="395"/>
    </row>
    <row r="41" spans="1:16" ht="12.75" customHeight="1" x14ac:dyDescent="0.2">
      <c r="A41" s="405"/>
      <c r="B41" s="395"/>
      <c r="C41" s="453"/>
      <c r="D41" s="453"/>
      <c r="E41" s="453"/>
      <c r="F41" s="453"/>
      <c r="G41" s="453"/>
      <c r="H41" s="453"/>
      <c r="I41" s="453"/>
      <c r="J41" s="453"/>
      <c r="K41" s="453"/>
      <c r="L41" s="453"/>
      <c r="M41" s="453"/>
      <c r="N41" s="453"/>
      <c r="O41" s="453"/>
      <c r="P41" s="395"/>
    </row>
    <row r="42" spans="1:16" ht="12.75" customHeight="1" x14ac:dyDescent="0.2">
      <c r="A42" s="137"/>
      <c r="B42" s="454"/>
      <c r="C42" s="457"/>
      <c r="D42" s="457"/>
      <c r="E42" s="457"/>
      <c r="F42" s="457"/>
      <c r="G42" s="457"/>
      <c r="H42" s="457"/>
      <c r="I42" s="457"/>
      <c r="J42" s="457"/>
      <c r="K42" s="457"/>
      <c r="L42" s="457"/>
      <c r="M42" s="457"/>
      <c r="N42" s="457"/>
      <c r="O42" s="452"/>
      <c r="P42" s="395"/>
    </row>
    <row r="43" spans="1:16" ht="12.75" customHeight="1" x14ac:dyDescent="0.2">
      <c r="A43" s="137"/>
      <c r="B43" s="454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452"/>
      <c r="P43" s="395"/>
    </row>
    <row r="44" spans="1:16" ht="12.75" customHeight="1" x14ac:dyDescent="0.2">
      <c r="A44" s="137"/>
      <c r="B44" s="454"/>
      <c r="C44" s="245"/>
      <c r="D44" s="245"/>
      <c r="E44" s="245"/>
      <c r="F44" s="245"/>
      <c r="G44" s="245"/>
      <c r="H44" s="245"/>
      <c r="I44" s="245"/>
      <c r="J44" s="245"/>
      <c r="K44" s="245"/>
      <c r="L44" s="245"/>
      <c r="M44" s="245"/>
      <c r="N44" s="245"/>
      <c r="O44" s="452"/>
      <c r="P44" s="395"/>
    </row>
    <row r="45" spans="1:16" ht="12.75" customHeight="1" x14ac:dyDescent="0.2">
      <c r="A45" s="137"/>
      <c r="B45" s="454"/>
      <c r="C45" s="245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452"/>
      <c r="P45" s="395"/>
    </row>
    <row r="46" spans="1:16" ht="12.75" customHeight="1" x14ac:dyDescent="0.2">
      <c r="A46" s="137"/>
      <c r="B46" s="454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452"/>
      <c r="P46" s="395"/>
    </row>
    <row r="47" spans="1:16" ht="12.75" customHeight="1" x14ac:dyDescent="0.2">
      <c r="A47" s="137"/>
      <c r="B47" s="454"/>
      <c r="C47" s="245"/>
      <c r="D47" s="245"/>
      <c r="E47" s="245"/>
      <c r="F47" s="245"/>
      <c r="G47" s="245"/>
      <c r="H47" s="245"/>
      <c r="I47" s="245"/>
      <c r="J47" s="245"/>
      <c r="K47" s="245"/>
      <c r="L47" s="245"/>
      <c r="M47" s="245"/>
      <c r="N47" s="245"/>
      <c r="O47" s="452"/>
      <c r="P47" s="395"/>
    </row>
    <row r="48" spans="1:16" ht="12.75" customHeight="1" x14ac:dyDescent="0.2">
      <c r="A48" s="137"/>
      <c r="B48" s="454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245"/>
      <c r="O48" s="452"/>
      <c r="P48" s="395"/>
    </row>
    <row r="49" spans="1:16" ht="12.75" customHeight="1" x14ac:dyDescent="0.2">
      <c r="A49" s="135"/>
      <c r="B49" s="454"/>
      <c r="C49" s="245"/>
      <c r="D49" s="245"/>
      <c r="E49" s="245"/>
      <c r="F49" s="245"/>
      <c r="G49" s="245"/>
      <c r="H49" s="245"/>
      <c r="I49" s="245"/>
      <c r="J49" s="245"/>
      <c r="K49" s="245"/>
      <c r="L49" s="245"/>
      <c r="M49" s="245"/>
      <c r="N49" s="245"/>
      <c r="O49" s="452"/>
      <c r="P49" s="395"/>
    </row>
    <row r="50" spans="1:16" ht="12.75" customHeight="1" x14ac:dyDescent="0.2">
      <c r="A50" s="137"/>
      <c r="B50" s="454"/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245"/>
      <c r="O50" s="452"/>
      <c r="P50" s="395"/>
    </row>
    <row r="51" spans="1:16" ht="12.75" customHeight="1" x14ac:dyDescent="0.2">
      <c r="A51" s="148"/>
      <c r="B51" s="454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245"/>
      <c r="O51" s="452"/>
      <c r="P51" s="395"/>
    </row>
    <row r="52" spans="1:16" ht="12.75" customHeight="1" x14ac:dyDescent="0.2">
      <c r="A52" s="148"/>
      <c r="B52" s="454"/>
      <c r="C52" s="245"/>
      <c r="D52" s="245"/>
      <c r="E52" s="245"/>
      <c r="F52" s="245"/>
      <c r="G52" s="245"/>
      <c r="H52" s="245"/>
      <c r="I52" s="245"/>
      <c r="J52" s="245"/>
      <c r="K52" s="245"/>
      <c r="L52" s="245"/>
      <c r="M52" s="245"/>
      <c r="N52" s="245"/>
      <c r="O52" s="452"/>
      <c r="P52" s="395"/>
    </row>
    <row r="53" spans="1:16" ht="12.75" customHeight="1" x14ac:dyDescent="0.2">
      <c r="A53" s="148"/>
      <c r="B53" s="454"/>
      <c r="C53" s="245"/>
      <c r="D53" s="245"/>
      <c r="E53" s="245"/>
      <c r="F53" s="245"/>
      <c r="G53" s="245"/>
      <c r="H53" s="245"/>
      <c r="I53" s="245"/>
      <c r="J53" s="245"/>
      <c r="K53" s="245"/>
      <c r="L53" s="245"/>
      <c r="M53" s="245"/>
      <c r="N53" s="245"/>
      <c r="O53" s="452"/>
      <c r="P53" s="395"/>
    </row>
    <row r="54" spans="1:16" ht="12.75" customHeight="1" x14ac:dyDescent="0.2">
      <c r="A54" s="148"/>
      <c r="B54" s="454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452"/>
      <c r="P54" s="395"/>
    </row>
    <row r="55" spans="1:16" ht="12.75" customHeight="1" x14ac:dyDescent="0.2">
      <c r="A55" s="148"/>
      <c r="B55" s="454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452"/>
      <c r="P55" s="395"/>
    </row>
    <row r="56" spans="1:16" ht="12.75" customHeight="1" x14ac:dyDescent="0.2">
      <c r="A56" s="148"/>
      <c r="B56" s="454"/>
      <c r="C56" s="245"/>
      <c r="D56" s="245"/>
      <c r="E56" s="245"/>
      <c r="F56" s="245"/>
      <c r="G56" s="245"/>
      <c r="H56" s="245"/>
      <c r="I56" s="245"/>
      <c r="J56" s="245"/>
      <c r="K56" s="245"/>
      <c r="L56" s="245"/>
      <c r="M56" s="245"/>
      <c r="N56" s="245"/>
      <c r="O56" s="452"/>
      <c r="P56" s="395"/>
    </row>
    <row r="57" spans="1:16" ht="12.75" customHeight="1" x14ac:dyDescent="0.2">
      <c r="A57" s="148"/>
      <c r="B57" s="454"/>
      <c r="C57" s="245"/>
      <c r="D57" s="245"/>
      <c r="E57" s="245"/>
      <c r="F57" s="245"/>
      <c r="G57" s="245"/>
      <c r="H57" s="245"/>
      <c r="I57" s="245"/>
      <c r="J57" s="245"/>
      <c r="K57" s="245"/>
      <c r="L57" s="245"/>
      <c r="M57" s="245"/>
      <c r="N57" s="245"/>
      <c r="O57" s="452"/>
      <c r="P57" s="395"/>
    </row>
    <row r="58" spans="1:16" ht="12.75" customHeight="1" x14ac:dyDescent="0.2">
      <c r="A58" s="148"/>
      <c r="B58" s="454"/>
      <c r="C58" s="245"/>
      <c r="D58" s="245"/>
      <c r="E58" s="245"/>
      <c r="F58" s="245"/>
      <c r="G58" s="245"/>
      <c r="H58" s="245"/>
      <c r="I58" s="245"/>
      <c r="J58" s="245"/>
      <c r="K58" s="245"/>
      <c r="L58" s="245"/>
      <c r="M58" s="245"/>
      <c r="N58" s="245"/>
      <c r="O58" s="452"/>
      <c r="P58" s="395"/>
    </row>
    <row r="59" spans="1:16" ht="12.75" customHeight="1" x14ac:dyDescent="0.2">
      <c r="A59" s="395"/>
      <c r="B59" s="395"/>
      <c r="C59" s="395"/>
      <c r="D59" s="395"/>
      <c r="E59" s="395"/>
      <c r="F59" s="395"/>
      <c r="G59" s="395"/>
      <c r="H59" s="395"/>
      <c r="I59" s="395"/>
      <c r="J59" s="395"/>
      <c r="K59" s="395"/>
      <c r="L59" s="395"/>
      <c r="M59" s="395"/>
      <c r="N59" s="395"/>
      <c r="O59" s="395"/>
      <c r="P59" s="395"/>
    </row>
    <row r="60" spans="1:16" ht="12.75" customHeight="1" x14ac:dyDescent="0.2">
      <c r="A60" s="148"/>
      <c r="B60" s="395"/>
      <c r="C60" s="456"/>
      <c r="D60" s="456"/>
      <c r="E60" s="456"/>
      <c r="F60" s="456"/>
      <c r="G60" s="456"/>
      <c r="H60" s="456"/>
      <c r="I60" s="456"/>
      <c r="J60" s="456"/>
      <c r="K60" s="456"/>
      <c r="L60" s="456"/>
      <c r="M60" s="456"/>
      <c r="N60" s="456"/>
      <c r="O60" s="452"/>
      <c r="P60" s="395"/>
    </row>
    <row r="61" spans="1:16" ht="12.75" customHeight="1" x14ac:dyDescent="0.2">
      <c r="A61" s="148"/>
      <c r="B61" s="395"/>
      <c r="C61" s="456"/>
      <c r="D61" s="456"/>
      <c r="E61" s="456"/>
      <c r="F61" s="456"/>
      <c r="G61" s="456"/>
      <c r="H61" s="456"/>
      <c r="I61" s="456"/>
      <c r="J61" s="456"/>
      <c r="K61" s="456"/>
      <c r="L61" s="456"/>
      <c r="M61" s="456"/>
      <c r="N61" s="456"/>
      <c r="O61" s="452"/>
      <c r="P61" s="395"/>
    </row>
    <row r="62" spans="1:16" ht="12.75" customHeight="1" x14ac:dyDescent="0.2">
      <c r="A62" s="148"/>
      <c r="B62" s="395"/>
      <c r="C62" s="395"/>
      <c r="D62" s="395"/>
      <c r="E62" s="395"/>
      <c r="F62" s="395"/>
      <c r="G62" s="395"/>
      <c r="H62" s="395"/>
      <c r="I62" s="395"/>
      <c r="J62" s="395"/>
      <c r="K62" s="395"/>
      <c r="L62" s="395"/>
      <c r="M62" s="395"/>
      <c r="N62" s="395"/>
      <c r="O62" s="395"/>
      <c r="P62" s="395"/>
    </row>
    <row r="63" spans="1:16" ht="12.75" customHeight="1" x14ac:dyDescent="0.2">
      <c r="A63" s="148"/>
      <c r="B63" s="395"/>
      <c r="C63" s="456"/>
      <c r="D63" s="456"/>
      <c r="E63" s="456"/>
      <c r="F63" s="456"/>
      <c r="G63" s="456"/>
      <c r="H63" s="456"/>
      <c r="I63" s="456"/>
      <c r="J63" s="456"/>
      <c r="K63" s="456"/>
      <c r="L63" s="456"/>
      <c r="M63" s="456"/>
      <c r="N63" s="456"/>
      <c r="O63" s="395"/>
      <c r="P63" s="395"/>
    </row>
    <row r="64" spans="1:16" ht="12.75" customHeight="1" x14ac:dyDescent="0.2">
      <c r="A64" s="148"/>
      <c r="B64" s="395"/>
      <c r="C64" s="458"/>
      <c r="D64" s="458"/>
      <c r="E64" s="458"/>
      <c r="F64" s="458"/>
      <c r="G64" s="458"/>
      <c r="H64" s="458"/>
      <c r="I64" s="458"/>
      <c r="J64" s="458"/>
      <c r="K64" s="458"/>
      <c r="L64" s="458"/>
      <c r="M64" s="458"/>
      <c r="N64" s="458"/>
      <c r="O64" s="395"/>
      <c r="P64" s="395"/>
    </row>
    <row r="65" spans="1:16" ht="12.75" customHeight="1" x14ac:dyDescent="0.2">
      <c r="A65" s="148"/>
      <c r="B65" s="395"/>
      <c r="C65" s="452"/>
      <c r="D65" s="452"/>
      <c r="E65" s="452"/>
      <c r="F65" s="452"/>
      <c r="G65" s="452"/>
      <c r="H65" s="452"/>
      <c r="I65" s="452"/>
      <c r="J65" s="452"/>
      <c r="K65" s="452"/>
      <c r="L65" s="452"/>
      <c r="M65" s="452"/>
      <c r="N65" s="452"/>
      <c r="O65" s="395"/>
      <c r="P65" s="395"/>
    </row>
    <row r="66" spans="1:16" ht="12.75" customHeight="1" x14ac:dyDescent="0.2">
      <c r="A66" s="245"/>
      <c r="B66" s="395"/>
      <c r="C66" s="395"/>
      <c r="D66" s="395"/>
      <c r="E66" s="395"/>
      <c r="F66" s="395"/>
      <c r="G66" s="395"/>
      <c r="H66" s="395"/>
      <c r="I66" s="395"/>
      <c r="J66" s="395"/>
      <c r="K66" s="395"/>
      <c r="L66" s="395"/>
      <c r="M66" s="395"/>
      <c r="N66" s="395"/>
      <c r="O66" s="395"/>
      <c r="P66" s="395"/>
    </row>
    <row r="67" spans="1:16" ht="12.75" customHeight="1" x14ac:dyDescent="0.2">
      <c r="A67" s="148"/>
      <c r="B67" s="454"/>
      <c r="C67" s="245"/>
      <c r="D67" s="245"/>
      <c r="E67" s="245"/>
      <c r="F67" s="245"/>
      <c r="G67" s="245"/>
      <c r="H67" s="245"/>
      <c r="I67" s="245"/>
      <c r="J67" s="245"/>
      <c r="K67" s="245"/>
      <c r="L67" s="245"/>
      <c r="M67" s="245"/>
      <c r="N67" s="245"/>
      <c r="O67" s="452"/>
      <c r="P67" s="395"/>
    </row>
    <row r="68" spans="1:16" ht="12.75" customHeight="1" x14ac:dyDescent="0.2">
      <c r="A68" s="148"/>
      <c r="B68" s="454"/>
      <c r="C68" s="452"/>
      <c r="D68" s="452"/>
      <c r="E68" s="452"/>
      <c r="F68" s="452"/>
      <c r="G68" s="452"/>
      <c r="H68" s="452"/>
      <c r="I68" s="452"/>
      <c r="J68" s="452"/>
      <c r="K68" s="452"/>
      <c r="L68" s="452"/>
      <c r="M68" s="452"/>
      <c r="N68" s="452"/>
      <c r="O68" s="395"/>
      <c r="P68" s="395"/>
    </row>
    <row r="69" spans="1:16" ht="12.75" customHeight="1" x14ac:dyDescent="0.2">
      <c r="A69" s="395"/>
      <c r="B69" s="395"/>
      <c r="C69" s="395"/>
      <c r="D69" s="395"/>
      <c r="E69" s="395"/>
      <c r="F69" s="395"/>
      <c r="G69" s="395"/>
      <c r="H69" s="395"/>
      <c r="I69" s="395"/>
      <c r="J69" s="395"/>
      <c r="K69" s="395"/>
      <c r="L69" s="395"/>
      <c r="M69" s="395"/>
      <c r="N69" s="395"/>
      <c r="O69" s="395"/>
      <c r="P69" s="395"/>
    </row>
    <row r="70" spans="1:16" ht="12.75" customHeight="1" x14ac:dyDescent="0.2">
      <c r="A70" s="148"/>
      <c r="B70" s="395"/>
      <c r="C70" s="452"/>
      <c r="D70" s="452"/>
      <c r="E70" s="452"/>
      <c r="F70" s="452"/>
      <c r="G70" s="452"/>
      <c r="H70" s="452"/>
      <c r="I70" s="452"/>
      <c r="J70" s="452"/>
      <c r="K70" s="452"/>
      <c r="L70" s="452"/>
      <c r="M70" s="452"/>
      <c r="N70" s="452"/>
      <c r="O70" s="395"/>
      <c r="P70" s="395"/>
    </row>
    <row r="71" spans="1:16" ht="12.75" customHeight="1" x14ac:dyDescent="0.2">
      <c r="A71" s="148"/>
      <c r="B71" s="395"/>
      <c r="C71" s="452"/>
      <c r="D71" s="452"/>
      <c r="E71" s="452"/>
      <c r="F71" s="452"/>
      <c r="G71" s="452"/>
      <c r="H71" s="452"/>
      <c r="I71" s="452"/>
      <c r="J71" s="452"/>
      <c r="K71" s="452"/>
      <c r="L71" s="452"/>
      <c r="M71" s="452"/>
      <c r="N71" s="452"/>
      <c r="O71" s="395"/>
      <c r="P71" s="395"/>
    </row>
    <row r="72" spans="1:16" ht="12.75" customHeight="1" x14ac:dyDescent="0.2">
      <c r="A72" s="148"/>
      <c r="B72" s="395"/>
      <c r="C72" s="451"/>
      <c r="D72" s="456"/>
      <c r="E72" s="456"/>
      <c r="F72" s="456"/>
      <c r="G72" s="456"/>
      <c r="H72" s="456"/>
      <c r="I72" s="456"/>
      <c r="J72" s="456"/>
      <c r="K72" s="456"/>
      <c r="L72" s="456"/>
      <c r="M72" s="456"/>
      <c r="N72" s="456"/>
      <c r="O72" s="395"/>
      <c r="P72" s="395"/>
    </row>
    <row r="73" spans="1:16" ht="12.75" customHeight="1" x14ac:dyDescent="0.2">
      <c r="A73" s="395"/>
      <c r="B73" s="395"/>
      <c r="C73" s="395"/>
      <c r="D73" s="395"/>
      <c r="E73" s="395"/>
      <c r="F73" s="395"/>
      <c r="G73" s="395"/>
      <c r="H73" s="395"/>
      <c r="I73" s="395"/>
      <c r="J73" s="395"/>
      <c r="K73" s="395"/>
      <c r="L73" s="395"/>
      <c r="M73" s="395"/>
      <c r="N73" s="395"/>
      <c r="O73" s="395"/>
      <c r="P73" s="395"/>
    </row>
    <row r="74" spans="1:16" ht="12.75" customHeight="1" x14ac:dyDescent="0.2">
      <c r="A74" s="395"/>
      <c r="B74" s="395"/>
      <c r="C74" s="459"/>
      <c r="D74" s="459"/>
      <c r="E74" s="459"/>
      <c r="F74" s="459"/>
      <c r="G74" s="459"/>
      <c r="H74" s="459"/>
      <c r="I74" s="459"/>
      <c r="J74" s="459"/>
      <c r="K74" s="459"/>
      <c r="L74" s="459"/>
      <c r="M74" s="459"/>
      <c r="N74" s="459"/>
      <c r="O74" s="452"/>
      <c r="P74" s="395"/>
    </row>
    <row r="75" spans="1:16" ht="12.75" customHeight="1" x14ac:dyDescent="0.2">
      <c r="A75" s="148"/>
      <c r="B75" s="395"/>
      <c r="C75" s="459"/>
      <c r="D75" s="459"/>
      <c r="E75" s="459"/>
      <c r="F75" s="459"/>
      <c r="G75" s="459"/>
      <c r="H75" s="459"/>
      <c r="I75" s="459"/>
      <c r="J75" s="459"/>
      <c r="K75" s="459"/>
      <c r="L75" s="459"/>
      <c r="M75" s="459"/>
      <c r="N75" s="459"/>
      <c r="O75" s="452"/>
      <c r="P75" s="395"/>
    </row>
    <row r="76" spans="1:16" ht="12.75" customHeight="1" x14ac:dyDescent="0.2">
      <c r="A76" s="395"/>
      <c r="B76" s="395"/>
      <c r="C76" s="460"/>
      <c r="D76" s="460"/>
      <c r="E76" s="460"/>
      <c r="F76" s="460"/>
      <c r="G76" s="460"/>
      <c r="H76" s="460"/>
      <c r="I76" s="460"/>
      <c r="J76" s="460"/>
      <c r="K76" s="460"/>
      <c r="L76" s="460"/>
      <c r="M76" s="460"/>
      <c r="N76" s="460"/>
      <c r="O76" s="395"/>
      <c r="P76" s="395"/>
    </row>
    <row r="77" spans="1:16" ht="12.75" customHeight="1" x14ac:dyDescent="0.2">
      <c r="A77" s="395"/>
      <c r="B77" s="395"/>
      <c r="C77" s="395"/>
      <c r="D77" s="395"/>
      <c r="E77" s="395"/>
      <c r="F77" s="395"/>
      <c r="G77" s="395"/>
      <c r="H77" s="395"/>
      <c r="I77" s="395"/>
      <c r="J77" s="395"/>
      <c r="K77" s="395"/>
      <c r="L77" s="395"/>
      <c r="M77" s="395"/>
      <c r="N77" s="395"/>
      <c r="O77" s="395"/>
      <c r="P77" s="395"/>
    </row>
    <row r="78" spans="1:16" ht="12.75" customHeight="1" x14ac:dyDescent="0.2">
      <c r="A78" s="551"/>
      <c r="B78" s="551"/>
      <c r="C78" s="551"/>
      <c r="D78" s="551"/>
      <c r="E78" s="551"/>
      <c r="F78" s="551"/>
      <c r="G78" s="551"/>
      <c r="H78" s="551"/>
      <c r="I78" s="551"/>
      <c r="J78" s="551"/>
      <c r="K78" s="551"/>
      <c r="L78" s="551"/>
      <c r="M78" s="551"/>
      <c r="N78" s="551"/>
      <c r="O78" s="395"/>
      <c r="P78" s="395"/>
    </row>
    <row r="79" spans="1:16" ht="12.75" customHeight="1" x14ac:dyDescent="0.2">
      <c r="A79" s="395"/>
      <c r="B79" s="395"/>
      <c r="C79" s="395"/>
      <c r="D79" s="395"/>
      <c r="E79" s="395"/>
      <c r="F79" s="395"/>
      <c r="G79" s="395"/>
      <c r="H79" s="395"/>
      <c r="I79" s="395"/>
      <c r="J79" s="395"/>
      <c r="K79" s="395"/>
      <c r="L79" s="395"/>
      <c r="M79" s="395"/>
      <c r="N79" s="395"/>
      <c r="O79" s="395"/>
      <c r="P79" s="395"/>
    </row>
    <row r="80" spans="1:16" ht="12.75" customHeight="1" x14ac:dyDescent="0.2">
      <c r="A80" s="137"/>
      <c r="B80" s="454"/>
      <c r="C80" s="245"/>
      <c r="D80" s="245"/>
      <c r="E80" s="245"/>
      <c r="F80" s="245"/>
      <c r="G80" s="245"/>
      <c r="H80" s="245"/>
      <c r="I80" s="245"/>
      <c r="J80" s="245"/>
      <c r="K80" s="245"/>
      <c r="L80" s="245"/>
      <c r="M80" s="245"/>
      <c r="N80" s="245"/>
      <c r="O80" s="452"/>
      <c r="P80" s="395"/>
    </row>
    <row r="81" spans="1:16" ht="12.75" customHeight="1" x14ac:dyDescent="0.2">
      <c r="A81" s="137"/>
      <c r="B81" s="454"/>
      <c r="C81" s="245"/>
      <c r="D81" s="245"/>
      <c r="E81" s="245"/>
      <c r="F81" s="245"/>
      <c r="G81" s="245"/>
      <c r="H81" s="245"/>
      <c r="I81" s="245"/>
      <c r="J81" s="245"/>
      <c r="K81" s="245"/>
      <c r="L81" s="245"/>
      <c r="M81" s="245"/>
      <c r="N81" s="245"/>
      <c r="O81" s="452"/>
      <c r="P81" s="395"/>
    </row>
    <row r="82" spans="1:16" ht="12.75" customHeight="1" x14ac:dyDescent="0.2">
      <c r="A82" s="137"/>
      <c r="B82" s="454"/>
      <c r="C82" s="245"/>
      <c r="D82" s="245"/>
      <c r="E82" s="245"/>
      <c r="F82" s="245"/>
      <c r="G82" s="245"/>
      <c r="H82" s="245"/>
      <c r="I82" s="245"/>
      <c r="J82" s="245"/>
      <c r="K82" s="245"/>
      <c r="L82" s="245"/>
      <c r="M82" s="245"/>
      <c r="N82" s="245"/>
      <c r="O82" s="452"/>
      <c r="P82" s="395"/>
    </row>
    <row r="83" spans="1:16" ht="12.75" customHeight="1" x14ac:dyDescent="0.2">
      <c r="A83" s="137"/>
      <c r="B83" s="454"/>
      <c r="C83" s="245"/>
      <c r="D83" s="245"/>
      <c r="E83" s="245"/>
      <c r="F83" s="245"/>
      <c r="G83" s="245"/>
      <c r="H83" s="245"/>
      <c r="I83" s="245"/>
      <c r="J83" s="245"/>
      <c r="K83" s="245"/>
      <c r="L83" s="245"/>
      <c r="M83" s="245"/>
      <c r="N83" s="245"/>
      <c r="O83" s="452"/>
      <c r="P83" s="395"/>
    </row>
    <row r="84" spans="1:16" ht="12.75" customHeight="1" x14ac:dyDescent="0.2">
      <c r="A84" s="461"/>
      <c r="B84" s="395"/>
      <c r="C84" s="452"/>
      <c r="D84" s="452"/>
      <c r="E84" s="452"/>
      <c r="F84" s="452"/>
      <c r="G84" s="452"/>
      <c r="H84" s="452"/>
      <c r="I84" s="452"/>
      <c r="J84" s="452"/>
      <c r="K84" s="452"/>
      <c r="L84" s="452"/>
      <c r="M84" s="452"/>
      <c r="N84" s="452"/>
      <c r="O84" s="452"/>
      <c r="P84" s="395"/>
    </row>
    <row r="85" spans="1:16" ht="12.75" customHeight="1" x14ac:dyDescent="0.2">
      <c r="A85" s="137"/>
      <c r="B85" s="395"/>
      <c r="C85" s="395"/>
      <c r="D85" s="395"/>
      <c r="E85" s="395"/>
      <c r="F85" s="395"/>
      <c r="G85" s="395"/>
      <c r="H85" s="395"/>
      <c r="I85" s="395"/>
      <c r="J85" s="395"/>
      <c r="K85" s="395"/>
      <c r="L85" s="395"/>
      <c r="M85" s="395"/>
      <c r="N85" s="395"/>
      <c r="O85" s="395"/>
      <c r="P85" s="395"/>
    </row>
    <row r="86" spans="1:16" ht="12.75" customHeight="1" x14ac:dyDescent="0.2">
      <c r="A86" s="137"/>
      <c r="B86" s="395"/>
      <c r="C86" s="452"/>
      <c r="D86" s="452"/>
      <c r="E86" s="452"/>
      <c r="F86" s="452"/>
      <c r="G86" s="452"/>
      <c r="H86" s="452"/>
      <c r="I86" s="452"/>
      <c r="J86" s="452"/>
      <c r="K86" s="452"/>
      <c r="L86" s="452"/>
      <c r="M86" s="452"/>
      <c r="N86" s="452"/>
      <c r="O86" s="452"/>
      <c r="P86" s="395"/>
    </row>
    <row r="87" spans="1:16" ht="12.75" customHeight="1" x14ac:dyDescent="0.2">
      <c r="A87" s="137"/>
      <c r="B87" s="395"/>
      <c r="C87" s="395"/>
      <c r="D87" s="395"/>
      <c r="E87" s="395"/>
      <c r="F87" s="395"/>
      <c r="G87" s="395"/>
      <c r="H87" s="395"/>
      <c r="I87" s="395"/>
      <c r="J87" s="395"/>
      <c r="K87" s="395"/>
      <c r="L87" s="395"/>
      <c r="M87" s="395"/>
      <c r="N87" s="395"/>
      <c r="O87" s="395"/>
      <c r="P87" s="395"/>
    </row>
    <row r="88" spans="1:16" ht="12.75" customHeight="1" x14ac:dyDescent="0.2">
      <c r="A88" s="137"/>
      <c r="B88" s="454"/>
      <c r="C88" s="245"/>
      <c r="D88" s="245"/>
      <c r="E88" s="245"/>
      <c r="F88" s="245"/>
      <c r="G88" s="245"/>
      <c r="H88" s="245"/>
      <c r="I88" s="245"/>
      <c r="J88" s="245"/>
      <c r="K88" s="245"/>
      <c r="L88" s="245"/>
      <c r="M88" s="245"/>
      <c r="N88" s="245"/>
      <c r="O88" s="452"/>
      <c r="P88" s="395"/>
    </row>
    <row r="89" spans="1:16" ht="12.75" customHeight="1" x14ac:dyDescent="0.2">
      <c r="A89" s="137"/>
      <c r="B89" s="395"/>
      <c r="C89" s="462"/>
      <c r="D89" s="462"/>
      <c r="E89" s="462"/>
      <c r="F89" s="462"/>
      <c r="G89" s="462"/>
      <c r="H89" s="462"/>
      <c r="I89" s="462"/>
      <c r="J89" s="462"/>
      <c r="K89" s="462"/>
      <c r="L89" s="462"/>
      <c r="M89" s="462"/>
      <c r="N89" s="462"/>
      <c r="O89" s="395"/>
      <c r="P89" s="395"/>
    </row>
    <row r="90" spans="1:16" ht="12.75" customHeight="1" x14ac:dyDescent="0.2">
      <c r="A90" s="137"/>
      <c r="B90" s="454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452"/>
      <c r="P90" s="395"/>
    </row>
    <row r="91" spans="1:16" ht="12.75" customHeight="1" x14ac:dyDescent="0.2">
      <c r="A91" s="137"/>
      <c r="B91" s="395"/>
      <c r="C91" s="395"/>
      <c r="D91" s="395"/>
      <c r="E91" s="395"/>
      <c r="F91" s="395"/>
      <c r="G91" s="395"/>
      <c r="H91" s="395"/>
      <c r="I91" s="395"/>
      <c r="J91" s="395"/>
      <c r="K91" s="395"/>
      <c r="L91" s="395"/>
      <c r="M91" s="395"/>
      <c r="N91" s="395"/>
      <c r="O91" s="395"/>
      <c r="P91" s="395"/>
    </row>
    <row r="92" spans="1:16" ht="12.75" customHeight="1" x14ac:dyDescent="0.2">
      <c r="A92" s="137"/>
      <c r="B92" s="395"/>
      <c r="C92" s="452"/>
      <c r="D92" s="452"/>
      <c r="E92" s="452"/>
      <c r="F92" s="452"/>
      <c r="G92" s="452"/>
      <c r="H92" s="452"/>
      <c r="I92" s="452"/>
      <c r="J92" s="452"/>
      <c r="K92" s="452"/>
      <c r="L92" s="452"/>
      <c r="M92" s="452"/>
      <c r="N92" s="452"/>
      <c r="O92" s="452"/>
      <c r="P92" s="395"/>
    </row>
    <row r="93" spans="1:16" ht="12.75" customHeight="1" x14ac:dyDescent="0.2">
      <c r="A93" s="137"/>
      <c r="B93" s="395"/>
      <c r="C93" s="452"/>
      <c r="D93" s="452"/>
      <c r="E93" s="452"/>
      <c r="F93" s="452"/>
      <c r="G93" s="452"/>
      <c r="H93" s="452"/>
      <c r="I93" s="452"/>
      <c r="J93" s="452"/>
      <c r="K93" s="452"/>
      <c r="L93" s="452"/>
      <c r="M93" s="452"/>
      <c r="N93" s="452"/>
      <c r="O93" s="452"/>
      <c r="P93" s="395"/>
    </row>
    <row r="94" spans="1:16" ht="12.75" customHeight="1" x14ac:dyDescent="0.2">
      <c r="A94" s="137"/>
      <c r="B94" s="395"/>
      <c r="C94" s="395"/>
      <c r="D94" s="395"/>
      <c r="E94" s="395"/>
      <c r="F94" s="395"/>
      <c r="G94" s="395"/>
      <c r="H94" s="395"/>
      <c r="I94" s="395"/>
      <c r="J94" s="395"/>
      <c r="K94" s="395"/>
      <c r="L94" s="395"/>
      <c r="M94" s="395"/>
      <c r="N94" s="395"/>
      <c r="O94" s="395"/>
      <c r="P94" s="395"/>
    </row>
    <row r="95" spans="1:16" ht="12.75" customHeight="1" x14ac:dyDescent="0.2">
      <c r="A95" s="137"/>
      <c r="B95" s="454"/>
      <c r="C95" s="245"/>
      <c r="D95" s="245"/>
      <c r="E95" s="245"/>
      <c r="F95" s="245"/>
      <c r="G95" s="245"/>
      <c r="H95" s="245"/>
      <c r="I95" s="245"/>
      <c r="J95" s="245"/>
      <c r="K95" s="245"/>
      <c r="L95" s="245"/>
      <c r="M95" s="245"/>
      <c r="N95" s="245"/>
      <c r="O95" s="452"/>
      <c r="P95" s="395"/>
    </row>
    <row r="96" spans="1:16" ht="12.75" customHeight="1" x14ac:dyDescent="0.2">
      <c r="A96" s="137"/>
      <c r="B96" s="395"/>
      <c r="C96" s="395"/>
      <c r="D96" s="395"/>
      <c r="E96" s="395"/>
      <c r="F96" s="395"/>
      <c r="G96" s="395"/>
      <c r="H96" s="395"/>
      <c r="I96" s="395"/>
      <c r="J96" s="395"/>
      <c r="K96" s="395"/>
      <c r="L96" s="395"/>
      <c r="M96" s="395"/>
      <c r="N96" s="395"/>
      <c r="O96" s="395"/>
      <c r="P96" s="395"/>
    </row>
    <row r="97" spans="1:16" ht="12.75" customHeight="1" x14ac:dyDescent="0.2">
      <c r="A97" s="137"/>
      <c r="B97" s="395"/>
      <c r="C97" s="459"/>
      <c r="D97" s="459"/>
      <c r="E97" s="459"/>
      <c r="F97" s="459"/>
      <c r="G97" s="459"/>
      <c r="H97" s="459"/>
      <c r="I97" s="459"/>
      <c r="J97" s="459"/>
      <c r="K97" s="459"/>
      <c r="L97" s="459"/>
      <c r="M97" s="459"/>
      <c r="N97" s="459"/>
      <c r="O97" s="459"/>
      <c r="P97" s="395"/>
    </row>
    <row r="98" spans="1:16" ht="12.75" customHeight="1" x14ac:dyDescent="0.2">
      <c r="A98" s="395"/>
      <c r="B98" s="395"/>
      <c r="C98" s="395"/>
      <c r="D98" s="395"/>
      <c r="E98" s="395"/>
      <c r="F98" s="395"/>
      <c r="G98" s="395"/>
      <c r="H98" s="395"/>
      <c r="I98" s="395"/>
      <c r="J98" s="395"/>
      <c r="K98" s="395"/>
      <c r="L98" s="395"/>
      <c r="M98" s="395"/>
      <c r="N98" s="395"/>
      <c r="O98" s="395"/>
      <c r="P98" s="395"/>
    </row>
    <row r="99" spans="1:16" ht="12.75" customHeight="1" x14ac:dyDescent="0.2">
      <c r="A99" s="395"/>
      <c r="B99" s="395"/>
      <c r="C99" s="395"/>
      <c r="D99" s="395"/>
      <c r="E99" s="395"/>
      <c r="F99" s="395"/>
      <c r="G99" s="395"/>
      <c r="H99" s="395"/>
      <c r="I99" s="395"/>
      <c r="J99" s="395"/>
      <c r="K99" s="395"/>
      <c r="L99" s="395"/>
      <c r="M99" s="395"/>
      <c r="N99" s="395"/>
      <c r="O99" s="395"/>
      <c r="P99" s="395"/>
    </row>
    <row r="100" spans="1:16" ht="12.75" customHeight="1" x14ac:dyDescent="0.2">
      <c r="A100" s="463"/>
      <c r="B100" s="395"/>
      <c r="C100" s="395"/>
      <c r="D100" s="395"/>
      <c r="E100" s="395"/>
      <c r="F100" s="395"/>
      <c r="G100" s="395"/>
      <c r="H100" s="395"/>
      <c r="I100" s="395"/>
      <c r="J100" s="395"/>
      <c r="K100" s="395"/>
      <c r="L100" s="395"/>
      <c r="M100" s="395"/>
      <c r="N100" s="395"/>
      <c r="O100" s="395"/>
      <c r="P100" s="395"/>
    </row>
    <row r="101" spans="1:16" ht="12.75" customHeight="1" x14ac:dyDescent="0.2">
      <c r="A101" s="395"/>
      <c r="B101" s="395"/>
      <c r="C101" s="395"/>
      <c r="D101" s="395"/>
      <c r="E101" s="395"/>
      <c r="F101" s="395"/>
      <c r="G101" s="395"/>
      <c r="H101" s="395"/>
      <c r="I101" s="395"/>
      <c r="J101" s="395"/>
      <c r="K101" s="395"/>
      <c r="L101" s="395"/>
      <c r="M101" s="395"/>
      <c r="N101" s="395"/>
      <c r="O101" s="395"/>
      <c r="P101" s="395"/>
    </row>
    <row r="102" spans="1:16" ht="12.75" customHeight="1" x14ac:dyDescent="0.2">
      <c r="A102" s="395"/>
      <c r="B102" s="395"/>
      <c r="C102" s="464"/>
      <c r="D102" s="464"/>
      <c r="E102" s="464"/>
      <c r="F102" s="464"/>
      <c r="G102" s="464"/>
      <c r="H102" s="464"/>
      <c r="I102" s="464"/>
      <c r="J102" s="464"/>
      <c r="K102" s="464"/>
      <c r="L102" s="464"/>
      <c r="M102" s="464"/>
      <c r="N102" s="464"/>
      <c r="O102" s="464"/>
      <c r="P102" s="395"/>
    </row>
    <row r="103" spans="1:16" ht="12.75" customHeight="1" x14ac:dyDescent="0.2">
      <c r="A103" s="395"/>
      <c r="B103" s="395"/>
      <c r="C103" s="464"/>
      <c r="D103" s="464"/>
      <c r="E103" s="464"/>
      <c r="F103" s="464"/>
      <c r="G103" s="464"/>
      <c r="H103" s="464"/>
      <c r="I103" s="464"/>
      <c r="J103" s="464"/>
      <c r="K103" s="464"/>
      <c r="L103" s="464"/>
      <c r="M103" s="464"/>
      <c r="N103" s="464"/>
      <c r="O103" s="464"/>
      <c r="P103" s="395"/>
    </row>
    <row r="104" spans="1:16" ht="12.75" customHeight="1" x14ac:dyDescent="0.2">
      <c r="A104" s="395"/>
      <c r="B104" s="395"/>
      <c r="C104" s="464"/>
      <c r="D104" s="464"/>
      <c r="E104" s="464"/>
      <c r="F104" s="464"/>
      <c r="G104" s="464"/>
      <c r="H104" s="464"/>
      <c r="I104" s="464"/>
      <c r="J104" s="464"/>
      <c r="K104" s="464"/>
      <c r="L104" s="464"/>
      <c r="M104" s="464"/>
      <c r="N104" s="464"/>
      <c r="O104" s="464"/>
      <c r="P104" s="395"/>
    </row>
    <row r="105" spans="1:16" ht="12.75" customHeight="1" x14ac:dyDescent="0.2">
      <c r="A105" s="455"/>
      <c r="B105" s="395"/>
      <c r="C105" s="465"/>
      <c r="D105" s="465"/>
      <c r="E105" s="465"/>
      <c r="F105" s="465"/>
      <c r="G105" s="465"/>
      <c r="H105" s="465"/>
      <c r="I105" s="465"/>
      <c r="J105" s="465"/>
      <c r="K105" s="465"/>
      <c r="L105" s="465"/>
      <c r="M105" s="465"/>
      <c r="N105" s="465"/>
      <c r="O105" s="465"/>
      <c r="P105" s="395"/>
    </row>
    <row r="106" spans="1:16" ht="12.75" customHeight="1" x14ac:dyDescent="0.2">
      <c r="A106" s="395"/>
      <c r="B106" s="395"/>
      <c r="C106" s="395"/>
      <c r="D106" s="395"/>
      <c r="E106" s="395"/>
      <c r="F106" s="395"/>
      <c r="G106" s="395"/>
      <c r="H106" s="395"/>
      <c r="I106" s="395"/>
      <c r="J106" s="395"/>
      <c r="K106" s="395"/>
      <c r="L106" s="395"/>
      <c r="M106" s="395"/>
      <c r="N106" s="395"/>
      <c r="O106" s="395"/>
      <c r="P106" s="395"/>
    </row>
    <row r="107" spans="1:16" ht="12.75" customHeight="1" x14ac:dyDescent="0.2">
      <c r="A107" s="395"/>
      <c r="B107" s="395"/>
      <c r="C107" s="395"/>
      <c r="D107" s="395"/>
      <c r="E107" s="395"/>
      <c r="F107" s="395"/>
      <c r="G107" s="395"/>
      <c r="H107" s="395"/>
      <c r="I107" s="395"/>
      <c r="J107" s="395"/>
      <c r="K107" s="395"/>
      <c r="L107" s="395"/>
      <c r="M107" s="395"/>
      <c r="N107" s="395"/>
      <c r="O107" s="395"/>
      <c r="P107" s="395"/>
    </row>
    <row r="108" spans="1:16" ht="12.75" customHeight="1" x14ac:dyDescent="0.2">
      <c r="A108" s="395"/>
      <c r="B108" s="395"/>
      <c r="C108" s="395"/>
      <c r="D108" s="395"/>
      <c r="E108" s="395"/>
      <c r="F108" s="395"/>
      <c r="G108" s="395"/>
      <c r="H108" s="395"/>
      <c r="I108" s="395"/>
      <c r="J108" s="395"/>
      <c r="K108" s="395"/>
      <c r="L108" s="395"/>
      <c r="M108" s="395"/>
      <c r="N108" s="395"/>
      <c r="O108" s="395"/>
      <c r="P108" s="395"/>
    </row>
    <row r="109" spans="1:16" ht="12.75" customHeight="1" x14ac:dyDescent="0.2">
      <c r="A109" s="395"/>
      <c r="B109" s="395"/>
      <c r="C109" s="395"/>
      <c r="D109" s="395"/>
      <c r="E109" s="395"/>
      <c r="F109" s="395"/>
      <c r="G109" s="395"/>
      <c r="H109" s="395"/>
      <c r="I109" s="395"/>
      <c r="J109" s="395"/>
      <c r="K109" s="395"/>
      <c r="L109" s="395"/>
      <c r="M109" s="395"/>
      <c r="N109" s="395"/>
      <c r="O109" s="395"/>
      <c r="P109" s="395"/>
    </row>
    <row r="110" spans="1:16" ht="12.75" customHeight="1" x14ac:dyDescent="0.2">
      <c r="A110" s="395"/>
      <c r="B110" s="395"/>
      <c r="C110" s="395"/>
      <c r="D110" s="395"/>
      <c r="E110" s="395"/>
      <c r="F110" s="395"/>
      <c r="G110" s="395"/>
      <c r="H110" s="395"/>
      <c r="I110" s="395"/>
      <c r="J110" s="395"/>
      <c r="K110" s="395"/>
      <c r="L110" s="395"/>
      <c r="M110" s="395"/>
      <c r="N110" s="395"/>
      <c r="O110" s="395"/>
      <c r="P110" s="395"/>
    </row>
    <row r="111" spans="1:16" ht="12.75" customHeight="1" x14ac:dyDescent="0.2">
      <c r="A111" s="395"/>
      <c r="B111" s="395"/>
      <c r="C111" s="395"/>
      <c r="D111" s="395"/>
      <c r="E111" s="395"/>
      <c r="F111" s="395"/>
      <c r="G111" s="395"/>
      <c r="H111" s="395"/>
      <c r="I111" s="395"/>
      <c r="J111" s="395"/>
      <c r="K111" s="395"/>
      <c r="L111" s="395"/>
      <c r="M111" s="395"/>
      <c r="N111" s="395"/>
      <c r="O111" s="395"/>
      <c r="P111" s="395"/>
    </row>
    <row r="112" spans="1:16" ht="12.75" customHeight="1" x14ac:dyDescent="0.2">
      <c r="A112" s="395"/>
      <c r="B112" s="395"/>
      <c r="C112" s="395"/>
      <c r="D112" s="395"/>
      <c r="E112" s="395"/>
      <c r="F112" s="395"/>
      <c r="G112" s="395"/>
      <c r="H112" s="395"/>
      <c r="I112" s="395"/>
      <c r="J112" s="395"/>
      <c r="K112" s="395"/>
      <c r="L112" s="395"/>
      <c r="M112" s="395"/>
      <c r="N112" s="395"/>
      <c r="O112" s="395"/>
      <c r="P112" s="395"/>
    </row>
    <row r="113" spans="1:16" ht="12.75" customHeight="1" x14ac:dyDescent="0.2">
      <c r="A113" s="395"/>
      <c r="B113" s="395"/>
      <c r="C113" s="395"/>
      <c r="D113" s="395"/>
      <c r="E113" s="395"/>
      <c r="F113" s="395"/>
      <c r="G113" s="395"/>
      <c r="H113" s="395"/>
      <c r="I113" s="395"/>
      <c r="J113" s="395"/>
      <c r="K113" s="395"/>
      <c r="L113" s="395"/>
      <c r="M113" s="395"/>
      <c r="N113" s="395"/>
      <c r="O113" s="395"/>
      <c r="P113" s="395"/>
    </row>
    <row r="114" spans="1:16" ht="12.75" customHeight="1" x14ac:dyDescent="0.2">
      <c r="A114" s="395"/>
      <c r="B114" s="395"/>
      <c r="C114" s="395"/>
      <c r="D114" s="395"/>
      <c r="E114" s="395"/>
      <c r="F114" s="395"/>
      <c r="G114" s="395"/>
      <c r="H114" s="395"/>
      <c r="I114" s="395"/>
      <c r="J114" s="395"/>
      <c r="K114" s="395"/>
      <c r="L114" s="395"/>
      <c r="M114" s="395"/>
      <c r="N114" s="395"/>
      <c r="O114" s="395"/>
      <c r="P114" s="395"/>
    </row>
    <row r="115" spans="1:16" ht="12.75" customHeight="1" x14ac:dyDescent="0.2">
      <c r="A115" s="395"/>
      <c r="B115" s="395"/>
      <c r="C115" s="395"/>
      <c r="D115" s="395"/>
      <c r="E115" s="395"/>
      <c r="F115" s="395"/>
      <c r="G115" s="395"/>
      <c r="H115" s="395"/>
      <c r="I115" s="395"/>
      <c r="J115" s="395"/>
      <c r="K115" s="395"/>
      <c r="L115" s="395"/>
      <c r="M115" s="395"/>
      <c r="N115" s="395"/>
      <c r="O115" s="395"/>
      <c r="P115" s="395"/>
    </row>
    <row r="116" spans="1:16" ht="12.75" customHeight="1" x14ac:dyDescent="0.2">
      <c r="A116" s="395"/>
      <c r="B116" s="395"/>
      <c r="C116" s="395"/>
      <c r="D116" s="395"/>
      <c r="E116" s="395"/>
      <c r="F116" s="395"/>
      <c r="G116" s="395"/>
      <c r="H116" s="395"/>
      <c r="I116" s="395"/>
      <c r="J116" s="395"/>
      <c r="K116" s="395"/>
      <c r="L116" s="395"/>
      <c r="M116" s="395"/>
      <c r="N116" s="395"/>
      <c r="O116" s="395"/>
      <c r="P116" s="395"/>
    </row>
    <row r="117" spans="1:16" ht="12.75" customHeight="1" x14ac:dyDescent="0.2">
      <c r="A117" s="395"/>
      <c r="B117" s="395"/>
      <c r="C117" s="395"/>
      <c r="D117" s="395"/>
      <c r="E117" s="395"/>
      <c r="F117" s="395"/>
      <c r="G117" s="395"/>
      <c r="H117" s="395"/>
      <c r="I117" s="395"/>
      <c r="J117" s="395"/>
      <c r="K117" s="395"/>
      <c r="L117" s="395"/>
      <c r="M117" s="395"/>
      <c r="N117" s="395"/>
      <c r="O117" s="395"/>
      <c r="P117" s="395"/>
    </row>
    <row r="118" spans="1:16" ht="12.75" customHeight="1" x14ac:dyDescent="0.2">
      <c r="A118" s="395"/>
      <c r="B118" s="395"/>
      <c r="C118" s="395"/>
      <c r="D118" s="395"/>
      <c r="E118" s="395"/>
      <c r="F118" s="395"/>
      <c r="G118" s="395"/>
      <c r="H118" s="395"/>
      <c r="I118" s="395"/>
      <c r="J118" s="395"/>
      <c r="K118" s="395"/>
      <c r="L118" s="395"/>
      <c r="M118" s="395"/>
      <c r="N118" s="395"/>
      <c r="O118" s="395"/>
      <c r="P118" s="395"/>
    </row>
    <row r="119" spans="1:16" ht="12.75" customHeight="1" x14ac:dyDescent="0.2">
      <c r="A119" s="395"/>
      <c r="B119" s="395"/>
      <c r="C119" s="395"/>
      <c r="D119" s="395"/>
      <c r="E119" s="395"/>
      <c r="F119" s="395"/>
      <c r="G119" s="395"/>
      <c r="H119" s="395"/>
      <c r="I119" s="395"/>
      <c r="J119" s="395"/>
      <c r="K119" s="395"/>
      <c r="L119" s="395"/>
      <c r="M119" s="395"/>
      <c r="N119" s="395"/>
      <c r="O119" s="395"/>
      <c r="P119" s="395"/>
    </row>
    <row r="120" spans="1:16" x14ac:dyDescent="0.2">
      <c r="A120" s="395"/>
      <c r="B120" s="395"/>
      <c r="C120" s="395"/>
      <c r="D120" s="395"/>
      <c r="E120" s="395"/>
      <c r="F120" s="395"/>
      <c r="G120" s="395"/>
      <c r="H120" s="395"/>
      <c r="I120" s="395"/>
      <c r="J120" s="395"/>
      <c r="K120" s="395"/>
      <c r="L120" s="395"/>
      <c r="M120" s="395"/>
      <c r="N120" s="395"/>
      <c r="O120" s="395"/>
      <c r="P120" s="395"/>
    </row>
    <row r="121" spans="1:16" x14ac:dyDescent="0.2">
      <c r="A121" s="395"/>
      <c r="B121" s="395"/>
      <c r="C121" s="395"/>
      <c r="D121" s="395"/>
      <c r="E121" s="395"/>
      <c r="F121" s="395"/>
      <c r="G121" s="395"/>
      <c r="H121" s="395"/>
      <c r="I121" s="395"/>
      <c r="J121" s="395"/>
      <c r="K121" s="395"/>
      <c r="L121" s="395"/>
      <c r="M121" s="395"/>
      <c r="N121" s="395"/>
      <c r="O121" s="395"/>
      <c r="P121" s="395"/>
    </row>
    <row r="122" spans="1:16" x14ac:dyDescent="0.2">
      <c r="A122" s="395"/>
      <c r="B122" s="395"/>
      <c r="C122" s="395"/>
      <c r="D122" s="395"/>
      <c r="E122" s="395"/>
      <c r="F122" s="395"/>
      <c r="G122" s="395"/>
      <c r="H122" s="395"/>
      <c r="I122" s="395"/>
      <c r="J122" s="395"/>
      <c r="K122" s="395"/>
      <c r="L122" s="395"/>
      <c r="M122" s="395"/>
      <c r="N122" s="395"/>
      <c r="O122" s="395"/>
      <c r="P122" s="395"/>
    </row>
    <row r="123" spans="1:16" x14ac:dyDescent="0.2">
      <c r="A123" s="395"/>
      <c r="B123" s="395"/>
      <c r="C123" s="395"/>
      <c r="D123" s="395"/>
      <c r="E123" s="395"/>
      <c r="F123" s="395"/>
      <c r="G123" s="395"/>
      <c r="H123" s="395"/>
      <c r="I123" s="395"/>
      <c r="J123" s="395"/>
      <c r="K123" s="395"/>
      <c r="L123" s="395"/>
      <c r="M123" s="395"/>
      <c r="N123" s="395"/>
      <c r="O123" s="395"/>
      <c r="P123" s="395"/>
    </row>
    <row r="124" spans="1:16" x14ac:dyDescent="0.2">
      <c r="A124" s="395"/>
      <c r="B124" s="395"/>
      <c r="C124" s="395"/>
      <c r="D124" s="395"/>
      <c r="E124" s="395"/>
      <c r="F124" s="395"/>
      <c r="G124" s="395"/>
      <c r="H124" s="395"/>
      <c r="I124" s="395"/>
      <c r="J124" s="395"/>
      <c r="K124" s="395"/>
      <c r="L124" s="395"/>
      <c r="M124" s="395"/>
      <c r="N124" s="395"/>
      <c r="O124" s="395"/>
      <c r="P124" s="395"/>
    </row>
    <row r="125" spans="1:16" x14ac:dyDescent="0.2">
      <c r="A125" s="395"/>
      <c r="B125" s="395"/>
      <c r="C125" s="395"/>
      <c r="D125" s="395"/>
      <c r="E125" s="395"/>
      <c r="F125" s="395"/>
      <c r="G125" s="395"/>
      <c r="H125" s="395"/>
      <c r="I125" s="395"/>
      <c r="J125" s="395"/>
      <c r="K125" s="395"/>
      <c r="L125" s="395"/>
      <c r="M125" s="395"/>
      <c r="N125" s="395"/>
      <c r="O125" s="395"/>
      <c r="P125" s="395"/>
    </row>
    <row r="126" spans="1:16" x14ac:dyDescent="0.2">
      <c r="A126" s="395"/>
      <c r="B126" s="395"/>
      <c r="C126" s="395"/>
      <c r="D126" s="395"/>
      <c r="E126" s="395"/>
      <c r="F126" s="395"/>
      <c r="G126" s="395"/>
      <c r="H126" s="395"/>
      <c r="I126" s="395"/>
      <c r="J126" s="395"/>
      <c r="K126" s="395"/>
      <c r="L126" s="395"/>
      <c r="M126" s="395"/>
      <c r="N126" s="395"/>
      <c r="O126" s="395"/>
      <c r="P126" s="395"/>
    </row>
    <row r="127" spans="1:16" x14ac:dyDescent="0.2">
      <c r="A127" s="395"/>
      <c r="B127" s="395"/>
      <c r="C127" s="395"/>
      <c r="D127" s="395"/>
      <c r="E127" s="395"/>
      <c r="F127" s="395"/>
      <c r="G127" s="395"/>
      <c r="H127" s="395"/>
      <c r="I127" s="395"/>
      <c r="J127" s="395"/>
      <c r="K127" s="395"/>
      <c r="L127" s="395"/>
      <c r="M127" s="395"/>
      <c r="N127" s="395"/>
      <c r="O127" s="395"/>
      <c r="P127" s="395"/>
    </row>
    <row r="128" spans="1:16" x14ac:dyDescent="0.2">
      <c r="A128" s="395"/>
      <c r="B128" s="395"/>
      <c r="C128" s="395"/>
      <c r="D128" s="395"/>
      <c r="E128" s="395"/>
      <c r="F128" s="395"/>
      <c r="G128" s="395"/>
      <c r="H128" s="395"/>
      <c r="I128" s="395"/>
      <c r="J128" s="395"/>
      <c r="K128" s="395"/>
      <c r="L128" s="395"/>
      <c r="M128" s="395"/>
      <c r="N128" s="395"/>
      <c r="O128" s="395"/>
      <c r="P128" s="395"/>
    </row>
    <row r="129" spans="1:16" x14ac:dyDescent="0.2">
      <c r="A129" s="395"/>
      <c r="B129" s="395"/>
      <c r="C129" s="395"/>
      <c r="D129" s="395"/>
      <c r="E129" s="395"/>
      <c r="F129" s="395"/>
      <c r="G129" s="395"/>
      <c r="H129" s="395"/>
      <c r="I129" s="395"/>
      <c r="J129" s="395"/>
      <c r="K129" s="395"/>
      <c r="L129" s="395"/>
      <c r="M129" s="395"/>
      <c r="N129" s="395"/>
      <c r="O129" s="395"/>
      <c r="P129" s="395"/>
    </row>
    <row r="130" spans="1:16" x14ac:dyDescent="0.2">
      <c r="A130" s="395"/>
      <c r="B130" s="395"/>
      <c r="C130" s="395"/>
      <c r="D130" s="395"/>
      <c r="E130" s="395"/>
      <c r="F130" s="395"/>
      <c r="G130" s="395"/>
      <c r="H130" s="395"/>
      <c r="I130" s="395"/>
      <c r="J130" s="395"/>
      <c r="K130" s="395"/>
      <c r="L130" s="395"/>
      <c r="M130" s="395"/>
      <c r="N130" s="395"/>
      <c r="O130" s="395"/>
      <c r="P130" s="395"/>
    </row>
    <row r="131" spans="1:16" x14ac:dyDescent="0.2">
      <c r="A131" s="395"/>
      <c r="B131" s="395"/>
      <c r="C131" s="395"/>
      <c r="D131" s="395"/>
      <c r="E131" s="395"/>
      <c r="F131" s="395"/>
      <c r="G131" s="395"/>
      <c r="H131" s="395"/>
      <c r="I131" s="395"/>
      <c r="J131" s="395"/>
      <c r="K131" s="395"/>
      <c r="L131" s="395"/>
      <c r="M131" s="395"/>
      <c r="N131" s="395"/>
      <c r="O131" s="395"/>
      <c r="P131" s="395"/>
    </row>
    <row r="132" spans="1:16" x14ac:dyDescent="0.2">
      <c r="A132" s="395"/>
      <c r="B132" s="395"/>
      <c r="C132" s="395"/>
      <c r="D132" s="395"/>
      <c r="E132" s="395"/>
      <c r="F132" s="395"/>
      <c r="G132" s="395"/>
      <c r="H132" s="395"/>
      <c r="I132" s="395"/>
      <c r="J132" s="395"/>
      <c r="K132" s="395"/>
      <c r="L132" s="395"/>
      <c r="M132" s="395"/>
      <c r="N132" s="395"/>
      <c r="O132" s="395"/>
      <c r="P132" s="395"/>
    </row>
    <row r="133" spans="1:16" x14ac:dyDescent="0.2">
      <c r="A133" s="395"/>
      <c r="B133" s="395"/>
      <c r="C133" s="395"/>
      <c r="D133" s="395"/>
      <c r="E133" s="395"/>
      <c r="F133" s="395"/>
      <c r="G133" s="395"/>
      <c r="H133" s="395"/>
      <c r="I133" s="395"/>
      <c r="J133" s="395"/>
      <c r="K133" s="395"/>
      <c r="L133" s="395"/>
      <c r="M133" s="395"/>
      <c r="N133" s="395"/>
      <c r="O133" s="395"/>
      <c r="P133" s="395"/>
    </row>
    <row r="134" spans="1:16" x14ac:dyDescent="0.2">
      <c r="A134" s="395"/>
      <c r="B134" s="395"/>
      <c r="C134" s="395"/>
      <c r="D134" s="395"/>
      <c r="E134" s="395"/>
      <c r="F134" s="395"/>
      <c r="G134" s="395"/>
      <c r="H134" s="395"/>
      <c r="I134" s="395"/>
      <c r="J134" s="395"/>
      <c r="K134" s="395"/>
      <c r="L134" s="395"/>
      <c r="M134" s="395"/>
      <c r="N134" s="395"/>
      <c r="O134" s="395"/>
      <c r="P134" s="395"/>
    </row>
    <row r="135" spans="1:16" x14ac:dyDescent="0.2">
      <c r="A135" s="395"/>
      <c r="B135" s="395"/>
      <c r="C135" s="395"/>
      <c r="D135" s="395"/>
      <c r="E135" s="395"/>
      <c r="F135" s="395"/>
      <c r="G135" s="395"/>
      <c r="H135" s="395"/>
      <c r="I135" s="395"/>
      <c r="J135" s="395"/>
      <c r="K135" s="395"/>
      <c r="L135" s="395"/>
      <c r="M135" s="395"/>
      <c r="N135" s="395"/>
      <c r="O135" s="395"/>
      <c r="P135" s="395"/>
    </row>
    <row r="136" spans="1:16" x14ac:dyDescent="0.2">
      <c r="A136" s="395"/>
      <c r="B136" s="395"/>
      <c r="C136" s="395"/>
      <c r="D136" s="395"/>
      <c r="E136" s="395"/>
      <c r="F136" s="395"/>
      <c r="G136" s="395"/>
      <c r="H136" s="395"/>
      <c r="I136" s="395"/>
      <c r="J136" s="395"/>
      <c r="K136" s="395"/>
      <c r="L136" s="395"/>
      <c r="M136" s="395"/>
      <c r="N136" s="395"/>
      <c r="O136" s="395"/>
      <c r="P136" s="395"/>
    </row>
    <row r="137" spans="1:16" x14ac:dyDescent="0.2">
      <c r="A137" s="395"/>
      <c r="B137" s="395"/>
      <c r="C137" s="395"/>
      <c r="D137" s="395"/>
      <c r="E137" s="395"/>
      <c r="F137" s="395"/>
      <c r="G137" s="395"/>
      <c r="H137" s="395"/>
      <c r="I137" s="395"/>
      <c r="J137" s="395"/>
      <c r="K137" s="395"/>
      <c r="L137" s="395"/>
      <c r="M137" s="395"/>
      <c r="N137" s="395"/>
      <c r="O137" s="395"/>
      <c r="P137" s="395"/>
    </row>
    <row r="138" spans="1:16" x14ac:dyDescent="0.2">
      <c r="A138" s="395"/>
      <c r="B138" s="395"/>
      <c r="C138" s="395"/>
      <c r="D138" s="395"/>
      <c r="E138" s="395"/>
      <c r="F138" s="395"/>
      <c r="G138" s="395"/>
      <c r="H138" s="395"/>
      <c r="I138" s="395"/>
      <c r="J138" s="395"/>
      <c r="K138" s="395"/>
      <c r="L138" s="395"/>
      <c r="M138" s="395"/>
      <c r="N138" s="395"/>
      <c r="O138" s="395"/>
      <c r="P138" s="395"/>
    </row>
    <row r="139" spans="1:16" x14ac:dyDescent="0.2">
      <c r="A139" s="395"/>
      <c r="B139" s="395"/>
      <c r="C139" s="395"/>
      <c r="D139" s="395"/>
      <c r="E139" s="395"/>
      <c r="F139" s="395"/>
      <c r="G139" s="395"/>
      <c r="H139" s="395"/>
      <c r="I139" s="395"/>
      <c r="J139" s="395"/>
      <c r="K139" s="395"/>
      <c r="L139" s="395"/>
      <c r="M139" s="395"/>
      <c r="N139" s="395"/>
      <c r="O139" s="395"/>
      <c r="P139" s="395"/>
    </row>
    <row r="140" spans="1:16" x14ac:dyDescent="0.2">
      <c r="A140" s="395"/>
      <c r="B140" s="395"/>
      <c r="C140" s="395"/>
      <c r="D140" s="395"/>
      <c r="E140" s="395"/>
      <c r="F140" s="395"/>
      <c r="G140" s="395"/>
      <c r="H140" s="395"/>
      <c r="I140" s="395"/>
      <c r="J140" s="395"/>
      <c r="K140" s="395"/>
      <c r="L140" s="395"/>
      <c r="M140" s="395"/>
      <c r="N140" s="395"/>
      <c r="O140" s="395"/>
      <c r="P140" s="395"/>
    </row>
    <row r="141" spans="1:16" x14ac:dyDescent="0.2">
      <c r="A141" s="395"/>
      <c r="B141" s="395"/>
      <c r="C141" s="395"/>
      <c r="D141" s="395"/>
      <c r="E141" s="395"/>
      <c r="F141" s="395"/>
      <c r="G141" s="395"/>
      <c r="H141" s="395"/>
      <c r="I141" s="395"/>
      <c r="J141" s="395"/>
      <c r="K141" s="395"/>
      <c r="L141" s="395"/>
      <c r="M141" s="395"/>
      <c r="N141" s="395"/>
      <c r="O141" s="395"/>
      <c r="P141" s="395"/>
    </row>
    <row r="142" spans="1:16" x14ac:dyDescent="0.2">
      <c r="A142" s="395"/>
      <c r="B142" s="395"/>
      <c r="C142" s="395"/>
      <c r="D142" s="395"/>
      <c r="E142" s="395"/>
      <c r="F142" s="395"/>
      <c r="G142" s="395"/>
      <c r="H142" s="395"/>
      <c r="I142" s="395"/>
      <c r="J142" s="395"/>
      <c r="K142" s="395"/>
      <c r="L142" s="395"/>
      <c r="M142" s="395"/>
      <c r="N142" s="395"/>
      <c r="O142" s="395"/>
      <c r="P142" s="395"/>
    </row>
    <row r="143" spans="1:16" x14ac:dyDescent="0.2">
      <c r="A143" s="395"/>
      <c r="B143" s="395"/>
      <c r="C143" s="395"/>
      <c r="D143" s="395"/>
      <c r="E143" s="395"/>
      <c r="F143" s="395"/>
      <c r="G143" s="395"/>
      <c r="H143" s="395"/>
      <c r="I143" s="395"/>
      <c r="J143" s="395"/>
      <c r="K143" s="395"/>
      <c r="L143" s="395"/>
      <c r="M143" s="395"/>
      <c r="N143" s="395"/>
      <c r="O143" s="395"/>
      <c r="P143" s="395"/>
    </row>
    <row r="144" spans="1:16" x14ac:dyDescent="0.2">
      <c r="A144" s="395"/>
      <c r="B144" s="395"/>
      <c r="C144" s="395"/>
      <c r="D144" s="395"/>
      <c r="E144" s="395"/>
      <c r="F144" s="395"/>
      <c r="G144" s="395"/>
      <c r="H144" s="395"/>
      <c r="I144" s="395"/>
      <c r="J144" s="395"/>
      <c r="K144" s="395"/>
      <c r="L144" s="395"/>
      <c r="M144" s="395"/>
      <c r="N144" s="395"/>
      <c r="O144" s="395"/>
      <c r="P144" s="395"/>
    </row>
    <row r="145" spans="1:16" x14ac:dyDescent="0.2">
      <c r="A145" s="395"/>
      <c r="B145" s="395"/>
      <c r="C145" s="395"/>
      <c r="D145" s="395"/>
      <c r="E145" s="395"/>
      <c r="F145" s="395"/>
      <c r="G145" s="395"/>
      <c r="H145" s="395"/>
      <c r="I145" s="395"/>
      <c r="J145" s="395"/>
      <c r="K145" s="395"/>
      <c r="L145" s="395"/>
      <c r="M145" s="395"/>
      <c r="N145" s="395"/>
      <c r="O145" s="395"/>
      <c r="P145" s="395"/>
    </row>
    <row r="146" spans="1:16" x14ac:dyDescent="0.2">
      <c r="A146" s="395"/>
      <c r="B146" s="395"/>
      <c r="C146" s="395"/>
      <c r="D146" s="395"/>
      <c r="E146" s="395"/>
      <c r="F146" s="395"/>
      <c r="G146" s="395"/>
      <c r="H146" s="395"/>
      <c r="I146" s="395"/>
      <c r="J146" s="395"/>
      <c r="K146" s="395"/>
      <c r="L146" s="395"/>
      <c r="M146" s="395"/>
      <c r="N146" s="395"/>
      <c r="O146" s="395"/>
      <c r="P146" s="395"/>
    </row>
    <row r="147" spans="1:16" x14ac:dyDescent="0.2">
      <c r="A147" s="395"/>
      <c r="B147" s="395"/>
      <c r="C147" s="395"/>
      <c r="D147" s="395"/>
      <c r="E147" s="395"/>
      <c r="F147" s="395"/>
      <c r="G147" s="395"/>
      <c r="H147" s="395"/>
      <c r="I147" s="395"/>
      <c r="J147" s="395"/>
      <c r="K147" s="395"/>
      <c r="L147" s="395"/>
      <c r="M147" s="395"/>
      <c r="N147" s="395"/>
      <c r="O147" s="395"/>
      <c r="P147" s="395"/>
    </row>
    <row r="148" spans="1:16" x14ac:dyDescent="0.2">
      <c r="A148" s="395"/>
      <c r="B148" s="395"/>
      <c r="C148" s="395"/>
      <c r="D148" s="395"/>
      <c r="E148" s="395"/>
      <c r="F148" s="395"/>
      <c r="G148" s="395"/>
      <c r="H148" s="395"/>
      <c r="I148" s="395"/>
      <c r="J148" s="395"/>
      <c r="K148" s="395"/>
      <c r="L148" s="395"/>
      <c r="M148" s="395"/>
      <c r="N148" s="395"/>
      <c r="O148" s="395"/>
      <c r="P148" s="395"/>
    </row>
    <row r="149" spans="1:16" x14ac:dyDescent="0.2">
      <c r="A149" s="395"/>
      <c r="B149" s="395"/>
      <c r="C149" s="395"/>
      <c r="D149" s="395"/>
      <c r="E149" s="395"/>
      <c r="F149" s="395"/>
      <c r="G149" s="395"/>
      <c r="H149" s="395"/>
      <c r="I149" s="395"/>
      <c r="J149" s="395"/>
      <c r="K149" s="395"/>
      <c r="L149" s="395"/>
      <c r="M149" s="395"/>
      <c r="N149" s="395"/>
      <c r="O149" s="395"/>
      <c r="P149" s="395"/>
    </row>
    <row r="150" spans="1:16" x14ac:dyDescent="0.2">
      <c r="A150" s="395"/>
      <c r="B150" s="395"/>
      <c r="C150" s="395"/>
      <c r="D150" s="395"/>
      <c r="E150" s="395"/>
      <c r="F150" s="395"/>
      <c r="G150" s="395"/>
      <c r="H150" s="395"/>
      <c r="I150" s="395"/>
      <c r="J150" s="395"/>
      <c r="K150" s="395"/>
      <c r="L150" s="395"/>
      <c r="M150" s="395"/>
      <c r="N150" s="395"/>
      <c r="O150" s="395"/>
      <c r="P150" s="395"/>
    </row>
    <row r="151" spans="1:16" x14ac:dyDescent="0.2">
      <c r="A151" s="395"/>
      <c r="B151" s="395"/>
      <c r="C151" s="395"/>
      <c r="D151" s="395"/>
      <c r="E151" s="395"/>
      <c r="F151" s="395"/>
      <c r="G151" s="395"/>
      <c r="H151" s="395"/>
      <c r="I151" s="395"/>
      <c r="J151" s="395"/>
      <c r="K151" s="395"/>
      <c r="L151" s="395"/>
      <c r="M151" s="395"/>
      <c r="N151" s="395"/>
      <c r="O151" s="395"/>
      <c r="P151" s="395"/>
    </row>
    <row r="152" spans="1:16" x14ac:dyDescent="0.2">
      <c r="A152" s="395"/>
      <c r="B152" s="395"/>
      <c r="C152" s="395"/>
      <c r="D152" s="395"/>
      <c r="E152" s="395"/>
      <c r="F152" s="395"/>
      <c r="G152" s="395"/>
      <c r="H152" s="395"/>
      <c r="I152" s="395"/>
      <c r="J152" s="395"/>
      <c r="K152" s="395"/>
      <c r="L152" s="395"/>
      <c r="M152" s="395"/>
      <c r="N152" s="395"/>
      <c r="O152" s="395"/>
      <c r="P152" s="395"/>
    </row>
    <row r="153" spans="1:16" x14ac:dyDescent="0.2">
      <c r="A153" s="395"/>
      <c r="B153" s="395"/>
      <c r="C153" s="395"/>
      <c r="D153" s="395"/>
      <c r="E153" s="395"/>
      <c r="F153" s="395"/>
      <c r="G153" s="395"/>
      <c r="H153" s="395"/>
      <c r="I153" s="395"/>
      <c r="J153" s="395"/>
      <c r="K153" s="395"/>
      <c r="L153" s="395"/>
      <c r="M153" s="395"/>
      <c r="N153" s="395"/>
      <c r="O153" s="395"/>
      <c r="P153" s="395"/>
    </row>
    <row r="154" spans="1:16" x14ac:dyDescent="0.2">
      <c r="A154" s="395"/>
      <c r="B154" s="395"/>
      <c r="C154" s="395"/>
      <c r="D154" s="395"/>
      <c r="E154" s="395"/>
      <c r="F154" s="395"/>
      <c r="G154" s="395"/>
      <c r="H154" s="395"/>
      <c r="I154" s="395"/>
      <c r="J154" s="395"/>
      <c r="K154" s="395"/>
      <c r="L154" s="395"/>
      <c r="M154" s="395"/>
      <c r="N154" s="395"/>
      <c r="O154" s="395"/>
      <c r="P154" s="395"/>
    </row>
    <row r="155" spans="1:16" x14ac:dyDescent="0.2">
      <c r="A155" s="395"/>
      <c r="B155" s="395"/>
      <c r="C155" s="395"/>
      <c r="D155" s="395"/>
      <c r="E155" s="395"/>
      <c r="F155" s="395"/>
      <c r="G155" s="395"/>
      <c r="H155" s="395"/>
      <c r="I155" s="395"/>
      <c r="J155" s="395"/>
      <c r="K155" s="395"/>
      <c r="L155" s="395"/>
      <c r="M155" s="395"/>
      <c r="N155" s="395"/>
      <c r="O155" s="395"/>
      <c r="P155" s="395"/>
    </row>
    <row r="156" spans="1:16" x14ac:dyDescent="0.2">
      <c r="A156" s="395"/>
      <c r="B156" s="395"/>
      <c r="C156" s="395"/>
      <c r="D156" s="395"/>
      <c r="E156" s="395"/>
      <c r="F156" s="395"/>
      <c r="G156" s="395"/>
      <c r="H156" s="395"/>
      <c r="I156" s="395"/>
      <c r="J156" s="395"/>
      <c r="K156" s="395"/>
      <c r="L156" s="395"/>
      <c r="M156" s="395"/>
      <c r="N156" s="395"/>
      <c r="O156" s="395"/>
      <c r="P156" s="395"/>
    </row>
    <row r="157" spans="1:16" x14ac:dyDescent="0.2">
      <c r="A157" s="395"/>
      <c r="B157" s="395"/>
      <c r="C157" s="395"/>
      <c r="D157" s="395"/>
      <c r="E157" s="395"/>
      <c r="F157" s="395"/>
      <c r="G157" s="395"/>
      <c r="H157" s="395"/>
      <c r="I157" s="395"/>
      <c r="J157" s="395"/>
      <c r="K157" s="395"/>
      <c r="L157" s="395"/>
      <c r="M157" s="395"/>
      <c r="N157" s="395"/>
      <c r="O157" s="395"/>
      <c r="P157" s="395"/>
    </row>
    <row r="158" spans="1:16" x14ac:dyDescent="0.2">
      <c r="A158" s="395"/>
      <c r="B158" s="395"/>
      <c r="C158" s="395"/>
      <c r="D158" s="395"/>
      <c r="E158" s="395"/>
      <c r="F158" s="395"/>
      <c r="G158" s="395"/>
      <c r="H158" s="395"/>
      <c r="I158" s="395"/>
      <c r="J158" s="395"/>
      <c r="K158" s="395"/>
      <c r="L158" s="395"/>
      <c r="M158" s="395"/>
      <c r="N158" s="395"/>
      <c r="O158" s="395"/>
      <c r="P158" s="395"/>
    </row>
    <row r="159" spans="1:16" x14ac:dyDescent="0.2">
      <c r="A159" s="395"/>
      <c r="B159" s="395"/>
      <c r="C159" s="395"/>
      <c r="D159" s="395"/>
      <c r="E159" s="395"/>
      <c r="F159" s="395"/>
      <c r="G159" s="395"/>
      <c r="H159" s="395"/>
      <c r="I159" s="395"/>
      <c r="J159" s="395"/>
      <c r="K159" s="395"/>
      <c r="L159" s="395"/>
      <c r="M159" s="395"/>
      <c r="N159" s="395"/>
      <c r="O159" s="395"/>
      <c r="P159" s="395"/>
    </row>
    <row r="160" spans="1:16" x14ac:dyDescent="0.2">
      <c r="A160" s="395"/>
      <c r="B160" s="395"/>
      <c r="C160" s="395"/>
      <c r="D160" s="395"/>
      <c r="E160" s="395"/>
      <c r="F160" s="395"/>
      <c r="G160" s="395"/>
      <c r="H160" s="395"/>
      <c r="I160" s="395"/>
      <c r="J160" s="395"/>
      <c r="K160" s="395"/>
      <c r="L160" s="395"/>
      <c r="M160" s="395"/>
      <c r="N160" s="395"/>
      <c r="O160" s="395"/>
      <c r="P160" s="395"/>
    </row>
    <row r="161" spans="1:16" x14ac:dyDescent="0.2">
      <c r="A161" s="395"/>
      <c r="B161" s="395"/>
      <c r="C161" s="395"/>
      <c r="D161" s="395"/>
      <c r="E161" s="395"/>
      <c r="F161" s="395"/>
      <c r="G161" s="395"/>
      <c r="H161" s="395"/>
      <c r="I161" s="395"/>
      <c r="J161" s="395"/>
      <c r="K161" s="395"/>
      <c r="L161" s="395"/>
      <c r="M161" s="395"/>
      <c r="N161" s="395"/>
      <c r="O161" s="395"/>
      <c r="P161" s="395"/>
    </row>
    <row r="162" spans="1:16" x14ac:dyDescent="0.2">
      <c r="A162" s="395"/>
      <c r="B162" s="395"/>
      <c r="C162" s="395"/>
      <c r="D162" s="395"/>
      <c r="E162" s="395"/>
      <c r="F162" s="395"/>
      <c r="G162" s="395"/>
      <c r="H162" s="395"/>
      <c r="I162" s="395"/>
      <c r="J162" s="395"/>
      <c r="K162" s="395"/>
      <c r="L162" s="395"/>
      <c r="M162" s="395"/>
      <c r="N162" s="395"/>
      <c r="O162" s="395"/>
      <c r="P162" s="395"/>
    </row>
    <row r="163" spans="1:16" x14ac:dyDescent="0.2">
      <c r="A163" s="395"/>
      <c r="B163" s="395"/>
      <c r="C163" s="395"/>
      <c r="D163" s="395"/>
      <c r="E163" s="395"/>
      <c r="F163" s="395"/>
      <c r="G163" s="395"/>
      <c r="H163" s="395"/>
      <c r="I163" s="395"/>
      <c r="J163" s="395"/>
      <c r="K163" s="395"/>
      <c r="L163" s="395"/>
      <c r="M163" s="395"/>
      <c r="N163" s="395"/>
      <c r="O163" s="395"/>
      <c r="P163" s="395"/>
    </row>
    <row r="164" spans="1:16" x14ac:dyDescent="0.2">
      <c r="A164" s="395"/>
      <c r="B164" s="395"/>
      <c r="C164" s="395"/>
      <c r="D164" s="395"/>
      <c r="E164" s="395"/>
      <c r="F164" s="395"/>
      <c r="G164" s="395"/>
      <c r="H164" s="395"/>
      <c r="I164" s="395"/>
      <c r="J164" s="395"/>
      <c r="K164" s="395"/>
      <c r="L164" s="395"/>
      <c r="M164" s="395"/>
      <c r="N164" s="395"/>
      <c r="O164" s="395"/>
      <c r="P164" s="395"/>
    </row>
    <row r="165" spans="1:16" x14ac:dyDescent="0.2">
      <c r="A165" s="395"/>
      <c r="B165" s="395"/>
      <c r="C165" s="395"/>
      <c r="D165" s="395"/>
      <c r="E165" s="395"/>
      <c r="F165" s="395"/>
      <c r="G165" s="395"/>
      <c r="H165" s="395"/>
      <c r="I165" s="395"/>
      <c r="J165" s="395"/>
      <c r="K165" s="395"/>
      <c r="L165" s="395"/>
      <c r="M165" s="395"/>
      <c r="N165" s="395"/>
      <c r="O165" s="395"/>
      <c r="P165" s="395"/>
    </row>
    <row r="166" spans="1:16" x14ac:dyDescent="0.2">
      <c r="A166" s="395"/>
      <c r="B166" s="395"/>
      <c r="C166" s="395"/>
      <c r="D166" s="395"/>
      <c r="E166" s="395"/>
      <c r="F166" s="395"/>
      <c r="G166" s="395"/>
      <c r="H166" s="395"/>
      <c r="I166" s="395"/>
      <c r="J166" s="395"/>
      <c r="K166" s="395"/>
      <c r="L166" s="395"/>
      <c r="M166" s="395"/>
      <c r="N166" s="395"/>
      <c r="O166" s="395"/>
      <c r="P166" s="395"/>
    </row>
    <row r="167" spans="1:16" x14ac:dyDescent="0.2">
      <c r="A167" s="395"/>
      <c r="B167" s="395"/>
      <c r="C167" s="395"/>
      <c r="D167" s="395"/>
      <c r="E167" s="395"/>
      <c r="F167" s="395"/>
      <c r="G167" s="395"/>
      <c r="H167" s="395"/>
      <c r="I167" s="395"/>
      <c r="J167" s="395"/>
      <c r="K167" s="395"/>
      <c r="L167" s="395"/>
      <c r="M167" s="395"/>
      <c r="N167" s="395"/>
      <c r="O167" s="395"/>
      <c r="P167" s="395"/>
    </row>
    <row r="168" spans="1:16" x14ac:dyDescent="0.2">
      <c r="A168" s="395"/>
      <c r="B168" s="395"/>
      <c r="C168" s="395"/>
      <c r="D168" s="395"/>
      <c r="E168" s="395"/>
      <c r="F168" s="395"/>
      <c r="G168" s="395"/>
      <c r="H168" s="395"/>
      <c r="I168" s="395"/>
      <c r="J168" s="395"/>
      <c r="K168" s="395"/>
      <c r="L168" s="395"/>
      <c r="M168" s="395"/>
      <c r="N168" s="395"/>
      <c r="O168" s="395"/>
      <c r="P168" s="395"/>
    </row>
    <row r="169" spans="1:16" x14ac:dyDescent="0.2">
      <c r="A169" s="395"/>
      <c r="B169" s="395"/>
      <c r="C169" s="395"/>
      <c r="D169" s="395"/>
      <c r="E169" s="395"/>
      <c r="F169" s="395"/>
      <c r="G169" s="395"/>
      <c r="H169" s="395"/>
      <c r="I169" s="395"/>
      <c r="J169" s="395"/>
      <c r="K169" s="395"/>
      <c r="L169" s="395"/>
      <c r="M169" s="395"/>
      <c r="N169" s="395"/>
      <c r="O169" s="395"/>
      <c r="P169" s="395"/>
    </row>
    <row r="170" spans="1:16" x14ac:dyDescent="0.2">
      <c r="A170" s="395"/>
      <c r="B170" s="395"/>
      <c r="C170" s="395"/>
      <c r="D170" s="395"/>
      <c r="E170" s="395"/>
      <c r="F170" s="395"/>
      <c r="G170" s="395"/>
      <c r="H170" s="395"/>
      <c r="I170" s="395"/>
      <c r="J170" s="395"/>
      <c r="K170" s="395"/>
      <c r="L170" s="395"/>
      <c r="M170" s="395"/>
      <c r="N170" s="395"/>
      <c r="O170" s="395"/>
      <c r="P170" s="395"/>
    </row>
    <row r="171" spans="1:16" x14ac:dyDescent="0.2">
      <c r="A171" s="395"/>
      <c r="B171" s="395"/>
      <c r="C171" s="395"/>
      <c r="D171" s="395"/>
      <c r="E171" s="395"/>
      <c r="F171" s="395"/>
      <c r="G171" s="395"/>
      <c r="H171" s="395"/>
      <c r="I171" s="395"/>
      <c r="J171" s="395"/>
      <c r="K171" s="395"/>
      <c r="L171" s="395"/>
      <c r="M171" s="395"/>
      <c r="N171" s="395"/>
      <c r="O171" s="395"/>
      <c r="P171" s="395"/>
    </row>
    <row r="172" spans="1:16" x14ac:dyDescent="0.2">
      <c r="A172" s="395"/>
      <c r="B172" s="395"/>
      <c r="C172" s="395"/>
      <c r="D172" s="395"/>
      <c r="E172" s="395"/>
      <c r="F172" s="395"/>
      <c r="G172" s="395"/>
      <c r="H172" s="395"/>
      <c r="I172" s="395"/>
      <c r="J172" s="395"/>
      <c r="K172" s="395"/>
      <c r="L172" s="395"/>
      <c r="M172" s="395"/>
      <c r="N172" s="395"/>
      <c r="O172" s="395"/>
      <c r="P172" s="395"/>
    </row>
    <row r="173" spans="1:16" x14ac:dyDescent="0.2">
      <c r="A173" s="395"/>
      <c r="B173" s="395"/>
      <c r="C173" s="395"/>
      <c r="D173" s="395"/>
      <c r="E173" s="395"/>
      <c r="F173" s="395"/>
      <c r="G173" s="395"/>
      <c r="H173" s="395"/>
      <c r="I173" s="395"/>
      <c r="J173" s="395"/>
      <c r="K173" s="395"/>
      <c r="L173" s="395"/>
      <c r="M173" s="395"/>
      <c r="N173" s="395"/>
      <c r="O173" s="395"/>
      <c r="P173" s="395"/>
    </row>
    <row r="174" spans="1:16" x14ac:dyDescent="0.2">
      <c r="A174" s="395"/>
      <c r="B174" s="395"/>
      <c r="C174" s="395"/>
      <c r="D174" s="395"/>
      <c r="E174" s="395"/>
      <c r="F174" s="395"/>
      <c r="G174" s="395"/>
      <c r="H174" s="395"/>
      <c r="I174" s="395"/>
      <c r="J174" s="395"/>
      <c r="K174" s="395"/>
      <c r="L174" s="395"/>
      <c r="M174" s="395"/>
      <c r="N174" s="395"/>
      <c r="O174" s="395"/>
      <c r="P174" s="395"/>
    </row>
    <row r="175" spans="1:16" x14ac:dyDescent="0.2">
      <c r="A175" s="395"/>
      <c r="B175" s="395"/>
      <c r="C175" s="395"/>
      <c r="D175" s="395"/>
      <c r="E175" s="395"/>
      <c r="F175" s="395"/>
      <c r="G175" s="395"/>
      <c r="H175" s="395"/>
      <c r="I175" s="395"/>
      <c r="J175" s="395"/>
      <c r="K175" s="395"/>
      <c r="L175" s="395"/>
      <c r="M175" s="395"/>
      <c r="N175" s="395"/>
      <c r="O175" s="395"/>
      <c r="P175" s="395"/>
    </row>
    <row r="176" spans="1:16" x14ac:dyDescent="0.2">
      <c r="A176" s="395"/>
      <c r="B176" s="395"/>
      <c r="C176" s="395"/>
      <c r="D176" s="395"/>
      <c r="E176" s="395"/>
      <c r="F176" s="395"/>
      <c r="G176" s="395"/>
      <c r="H176" s="395"/>
      <c r="I176" s="395"/>
      <c r="J176" s="395"/>
      <c r="K176" s="395"/>
      <c r="L176" s="395"/>
      <c r="M176" s="395"/>
      <c r="N176" s="395"/>
      <c r="O176" s="395"/>
      <c r="P176" s="395"/>
    </row>
    <row r="177" spans="1:16" x14ac:dyDescent="0.2">
      <c r="A177" s="395"/>
      <c r="B177" s="395"/>
      <c r="C177" s="395"/>
      <c r="D177" s="395"/>
      <c r="E177" s="395"/>
      <c r="F177" s="395"/>
      <c r="G177" s="395"/>
      <c r="H177" s="395"/>
      <c r="I177" s="395"/>
      <c r="J177" s="395"/>
      <c r="K177" s="395"/>
      <c r="L177" s="395"/>
      <c r="M177" s="395"/>
      <c r="N177" s="395"/>
      <c r="O177" s="395"/>
      <c r="P177" s="395"/>
    </row>
    <row r="178" spans="1:16" x14ac:dyDescent="0.2">
      <c r="A178" s="395"/>
      <c r="B178" s="395"/>
      <c r="C178" s="395"/>
      <c r="D178" s="395"/>
      <c r="E178" s="395"/>
      <c r="F178" s="395"/>
      <c r="G178" s="395"/>
      <c r="H178" s="395"/>
      <c r="I178" s="395"/>
      <c r="J178" s="395"/>
      <c r="K178" s="395"/>
      <c r="L178" s="395"/>
      <c r="M178" s="395"/>
      <c r="N178" s="395"/>
      <c r="O178" s="395"/>
      <c r="P178" s="395"/>
    </row>
    <row r="179" spans="1:16" x14ac:dyDescent="0.2">
      <c r="A179" s="395"/>
      <c r="B179" s="395"/>
      <c r="C179" s="395"/>
      <c r="D179" s="395"/>
      <c r="E179" s="395"/>
      <c r="F179" s="395"/>
      <c r="G179" s="395"/>
      <c r="H179" s="395"/>
      <c r="I179" s="395"/>
      <c r="J179" s="395"/>
      <c r="K179" s="395"/>
      <c r="L179" s="395"/>
      <c r="M179" s="395"/>
      <c r="N179" s="395"/>
      <c r="O179" s="395"/>
      <c r="P179" s="395"/>
    </row>
    <row r="180" spans="1:16" x14ac:dyDescent="0.2">
      <c r="A180" s="395"/>
      <c r="B180" s="395"/>
      <c r="C180" s="395"/>
      <c r="D180" s="395"/>
      <c r="E180" s="395"/>
      <c r="F180" s="395"/>
      <c r="G180" s="395"/>
      <c r="H180" s="395"/>
      <c r="I180" s="395"/>
      <c r="J180" s="395"/>
      <c r="K180" s="395"/>
      <c r="L180" s="395"/>
      <c r="M180" s="395"/>
      <c r="N180" s="395"/>
      <c r="O180" s="395"/>
      <c r="P180" s="395"/>
    </row>
    <row r="181" spans="1:16" x14ac:dyDescent="0.2">
      <c r="A181" s="395"/>
      <c r="B181" s="395"/>
      <c r="C181" s="395"/>
      <c r="D181" s="395"/>
      <c r="E181" s="395"/>
      <c r="F181" s="395"/>
      <c r="G181" s="395"/>
      <c r="H181" s="395"/>
      <c r="I181" s="395"/>
      <c r="J181" s="395"/>
      <c r="K181" s="395"/>
      <c r="L181" s="395"/>
      <c r="M181" s="395"/>
      <c r="N181" s="395"/>
      <c r="O181" s="395"/>
      <c r="P181" s="395"/>
    </row>
    <row r="182" spans="1:16" x14ac:dyDescent="0.2">
      <c r="A182" s="395"/>
      <c r="B182" s="395"/>
      <c r="C182" s="395"/>
      <c r="D182" s="395"/>
      <c r="E182" s="395"/>
      <c r="F182" s="395"/>
      <c r="G182" s="395"/>
      <c r="H182" s="395"/>
      <c r="I182" s="395"/>
      <c r="J182" s="395"/>
      <c r="K182" s="395"/>
      <c r="L182" s="395"/>
      <c r="M182" s="395"/>
      <c r="N182" s="395"/>
      <c r="O182" s="395"/>
      <c r="P182" s="395"/>
    </row>
    <row r="183" spans="1:16" x14ac:dyDescent="0.2">
      <c r="A183" s="395"/>
      <c r="B183" s="395"/>
      <c r="C183" s="395"/>
      <c r="D183" s="395"/>
      <c r="E183" s="395"/>
      <c r="F183" s="395"/>
      <c r="G183" s="395"/>
      <c r="H183" s="395"/>
      <c r="I183" s="395"/>
      <c r="J183" s="395"/>
      <c r="K183" s="395"/>
      <c r="L183" s="395"/>
      <c r="M183" s="395"/>
      <c r="N183" s="395"/>
      <c r="O183" s="395"/>
      <c r="P183" s="395"/>
    </row>
    <row r="184" spans="1:16" x14ac:dyDescent="0.2">
      <c r="A184" s="395"/>
      <c r="B184" s="395"/>
      <c r="C184" s="395"/>
      <c r="D184" s="395"/>
      <c r="E184" s="395"/>
      <c r="F184" s="395"/>
      <c r="G184" s="395"/>
      <c r="H184" s="395"/>
      <c r="I184" s="395"/>
      <c r="J184" s="395"/>
      <c r="K184" s="395"/>
      <c r="L184" s="395"/>
      <c r="M184" s="395"/>
      <c r="N184" s="395"/>
      <c r="O184" s="395"/>
      <c r="P184" s="395"/>
    </row>
    <row r="185" spans="1:16" x14ac:dyDescent="0.2">
      <c r="A185" s="395"/>
      <c r="B185" s="395"/>
      <c r="C185" s="395"/>
      <c r="D185" s="395"/>
      <c r="E185" s="395"/>
      <c r="F185" s="395"/>
      <c r="G185" s="395"/>
      <c r="H185" s="395"/>
      <c r="I185" s="395"/>
      <c r="J185" s="395"/>
      <c r="K185" s="395"/>
      <c r="L185" s="395"/>
      <c r="M185" s="395"/>
      <c r="N185" s="395"/>
      <c r="O185" s="395"/>
      <c r="P185" s="395"/>
    </row>
    <row r="186" spans="1:16" x14ac:dyDescent="0.2">
      <c r="A186" s="395"/>
      <c r="B186" s="395"/>
      <c r="C186" s="395"/>
      <c r="D186" s="395"/>
      <c r="E186" s="395"/>
      <c r="F186" s="395"/>
      <c r="G186" s="395"/>
      <c r="H186" s="395"/>
      <c r="I186" s="395"/>
      <c r="J186" s="395"/>
      <c r="K186" s="395"/>
      <c r="L186" s="395"/>
      <c r="M186" s="395"/>
      <c r="N186" s="395"/>
      <c r="O186" s="395"/>
      <c r="P186" s="395"/>
    </row>
    <row r="187" spans="1:16" x14ac:dyDescent="0.2">
      <c r="A187" s="395"/>
      <c r="B187" s="395"/>
      <c r="C187" s="395"/>
      <c r="D187" s="395"/>
      <c r="E187" s="395"/>
      <c r="F187" s="395"/>
      <c r="G187" s="395"/>
      <c r="H187" s="395"/>
      <c r="I187" s="395"/>
      <c r="J187" s="395"/>
      <c r="K187" s="395"/>
      <c r="L187" s="395"/>
      <c r="M187" s="395"/>
      <c r="N187" s="395"/>
      <c r="O187" s="395"/>
      <c r="P187" s="395"/>
    </row>
    <row r="188" spans="1:16" x14ac:dyDescent="0.2">
      <c r="A188" s="395"/>
      <c r="B188" s="395"/>
      <c r="C188" s="395"/>
      <c r="D188" s="395"/>
      <c r="E188" s="395"/>
      <c r="F188" s="395"/>
      <c r="G188" s="395"/>
      <c r="H188" s="395"/>
      <c r="I188" s="395"/>
      <c r="J188" s="395"/>
      <c r="K188" s="395"/>
      <c r="L188" s="395"/>
      <c r="M188" s="395"/>
      <c r="N188" s="395"/>
      <c r="O188" s="395"/>
      <c r="P188" s="395"/>
    </row>
    <row r="189" spans="1:16" x14ac:dyDescent="0.2">
      <c r="A189" s="395"/>
      <c r="B189" s="395"/>
      <c r="C189" s="395"/>
      <c r="D189" s="395"/>
      <c r="E189" s="395"/>
      <c r="F189" s="395"/>
      <c r="G189" s="395"/>
      <c r="H189" s="395"/>
      <c r="I189" s="395"/>
      <c r="J189" s="395"/>
      <c r="K189" s="395"/>
      <c r="L189" s="395"/>
      <c r="M189" s="395"/>
      <c r="N189" s="395"/>
      <c r="O189" s="395"/>
      <c r="P189" s="395"/>
    </row>
    <row r="190" spans="1:16" x14ac:dyDescent="0.2">
      <c r="A190" s="395"/>
      <c r="B190" s="395"/>
      <c r="C190" s="395"/>
      <c r="D190" s="395"/>
      <c r="E190" s="395"/>
      <c r="F190" s="395"/>
      <c r="G190" s="395"/>
      <c r="H190" s="395"/>
      <c r="I190" s="395"/>
      <c r="J190" s="395"/>
      <c r="K190" s="395"/>
      <c r="L190" s="395"/>
      <c r="M190" s="395"/>
      <c r="N190" s="395"/>
      <c r="O190" s="395"/>
      <c r="P190" s="395"/>
    </row>
    <row r="191" spans="1:16" x14ac:dyDescent="0.2">
      <c r="A191" s="395"/>
      <c r="B191" s="395"/>
      <c r="C191" s="395"/>
      <c r="D191" s="395"/>
      <c r="E191" s="395"/>
      <c r="F191" s="395"/>
      <c r="G191" s="395"/>
      <c r="H191" s="395"/>
      <c r="I191" s="395"/>
      <c r="J191" s="395"/>
      <c r="K191" s="395"/>
      <c r="L191" s="395"/>
      <c r="M191" s="395"/>
      <c r="N191" s="395"/>
      <c r="O191" s="395"/>
      <c r="P191" s="395"/>
    </row>
    <row r="192" spans="1:16" x14ac:dyDescent="0.2">
      <c r="A192" s="395"/>
      <c r="B192" s="395"/>
      <c r="C192" s="395"/>
      <c r="D192" s="395"/>
      <c r="E192" s="395"/>
      <c r="F192" s="395"/>
      <c r="G192" s="395"/>
      <c r="H192" s="395"/>
      <c r="I192" s="395"/>
      <c r="J192" s="395"/>
      <c r="K192" s="395"/>
      <c r="L192" s="395"/>
      <c r="M192" s="395"/>
      <c r="N192" s="395"/>
      <c r="O192" s="395"/>
      <c r="P192" s="395"/>
    </row>
    <row r="193" spans="1:16" x14ac:dyDescent="0.2">
      <c r="A193" s="395"/>
      <c r="B193" s="395"/>
      <c r="C193" s="395"/>
      <c r="D193" s="395"/>
      <c r="E193" s="395"/>
      <c r="F193" s="395"/>
      <c r="G193" s="395"/>
      <c r="H193" s="395"/>
      <c r="I193" s="395"/>
      <c r="J193" s="395"/>
      <c r="K193" s="395"/>
      <c r="L193" s="395"/>
      <c r="M193" s="395"/>
      <c r="N193" s="395"/>
      <c r="O193" s="395"/>
      <c r="P193" s="395"/>
    </row>
    <row r="194" spans="1:16" x14ac:dyDescent="0.2">
      <c r="A194" s="395"/>
      <c r="B194" s="395"/>
      <c r="C194" s="395"/>
      <c r="D194" s="395"/>
      <c r="E194" s="395"/>
      <c r="F194" s="395"/>
      <c r="G194" s="395"/>
      <c r="H194" s="395"/>
      <c r="I194" s="395"/>
      <c r="J194" s="395"/>
      <c r="K194" s="395"/>
      <c r="L194" s="395"/>
      <c r="M194" s="395"/>
      <c r="N194" s="395"/>
      <c r="O194" s="395"/>
      <c r="P194" s="395"/>
    </row>
    <row r="195" spans="1:16" x14ac:dyDescent="0.2">
      <c r="A195" s="395"/>
      <c r="B195" s="395"/>
      <c r="C195" s="395"/>
      <c r="D195" s="395"/>
      <c r="E195" s="395"/>
      <c r="F195" s="395"/>
      <c r="G195" s="395"/>
      <c r="H195" s="395"/>
      <c r="I195" s="395"/>
      <c r="J195" s="395"/>
      <c r="K195" s="395"/>
      <c r="L195" s="395"/>
      <c r="M195" s="395"/>
      <c r="N195" s="395"/>
      <c r="O195" s="395"/>
      <c r="P195" s="395"/>
    </row>
    <row r="196" spans="1:16" x14ac:dyDescent="0.2">
      <c r="A196" s="395"/>
      <c r="B196" s="395"/>
      <c r="C196" s="395"/>
      <c r="D196" s="395"/>
      <c r="E196" s="395"/>
      <c r="F196" s="395"/>
      <c r="G196" s="395"/>
      <c r="H196" s="395"/>
      <c r="I196" s="395"/>
      <c r="J196" s="395"/>
      <c r="K196" s="395"/>
      <c r="L196" s="395"/>
      <c r="M196" s="395"/>
      <c r="N196" s="395"/>
      <c r="O196" s="395"/>
      <c r="P196" s="395"/>
    </row>
    <row r="197" spans="1:16" x14ac:dyDescent="0.2">
      <c r="A197" s="395"/>
      <c r="B197" s="395"/>
      <c r="C197" s="395"/>
      <c r="D197" s="395"/>
      <c r="E197" s="395"/>
      <c r="F197" s="395"/>
      <c r="G197" s="395"/>
      <c r="H197" s="395"/>
      <c r="I197" s="395"/>
      <c r="J197" s="395"/>
      <c r="K197" s="395"/>
      <c r="L197" s="395"/>
      <c r="M197" s="395"/>
      <c r="N197" s="395"/>
      <c r="O197" s="395"/>
      <c r="P197" s="395"/>
    </row>
    <row r="198" spans="1:16" x14ac:dyDescent="0.2">
      <c r="A198" s="395"/>
      <c r="B198" s="395"/>
      <c r="C198" s="395"/>
      <c r="D198" s="395"/>
      <c r="E198" s="395"/>
      <c r="F198" s="395"/>
      <c r="G198" s="395"/>
      <c r="H198" s="395"/>
      <c r="I198" s="395"/>
      <c r="J198" s="395"/>
      <c r="K198" s="395"/>
      <c r="L198" s="395"/>
      <c r="M198" s="395"/>
      <c r="N198" s="395"/>
      <c r="O198" s="395"/>
      <c r="P198" s="395"/>
    </row>
    <row r="199" spans="1:16" x14ac:dyDescent="0.2">
      <c r="A199" s="395"/>
      <c r="B199" s="395"/>
      <c r="C199" s="395"/>
      <c r="D199" s="395"/>
      <c r="E199" s="395"/>
      <c r="F199" s="395"/>
      <c r="G199" s="395"/>
      <c r="H199" s="395"/>
      <c r="I199" s="395"/>
      <c r="J199" s="395"/>
      <c r="K199" s="395"/>
      <c r="L199" s="395"/>
      <c r="M199" s="395"/>
      <c r="N199" s="395"/>
      <c r="O199" s="395"/>
      <c r="P199" s="395"/>
    </row>
  </sheetData>
  <sheetProtection sheet="1" objects="1" scenarios="1"/>
  <mergeCells count="3">
    <mergeCell ref="A78:N78"/>
    <mergeCell ref="A11:N11"/>
    <mergeCell ref="A32:N32"/>
  </mergeCells>
  <phoneticPr fontId="22" type="noConversion"/>
  <hyperlinks>
    <hyperlink ref="F1" location="'Menú Principa'!A1" display="'Menú Principa'!A1"/>
  </hyperlinks>
  <pageMargins left="0.4" right="0.5" top="0.36" bottom="0.42" header="0" footer="0"/>
  <pageSetup paperSize="5" scale="77" fitToHeight="2" orientation="landscape" horizontalDpi="4294967295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>
    <pageSetUpPr fitToPage="1"/>
  </sheetPr>
  <dimension ref="A1:BT99"/>
  <sheetViews>
    <sheetView showGridLines="0" showRowColHeaders="0" workbookViewId="0">
      <selection activeCell="G2" sqref="G2"/>
    </sheetView>
  </sheetViews>
  <sheetFormatPr baseColWidth="10" defaultColWidth="11.42578125" defaultRowHeight="12.75" x14ac:dyDescent="0.2"/>
  <cols>
    <col min="1" max="1" width="15.85546875" customWidth="1"/>
    <col min="2" max="2" width="13.42578125" customWidth="1"/>
    <col min="3" max="3" width="14.7109375" customWidth="1"/>
    <col min="4" max="4" width="14.5703125" customWidth="1"/>
    <col min="5" max="5" width="14.42578125" customWidth="1"/>
    <col min="6" max="6" width="14.5703125" customWidth="1"/>
    <col min="7" max="7" width="12.7109375" customWidth="1"/>
    <col min="8" max="8" width="13.28515625" hidden="1" customWidth="1"/>
    <col min="9" max="9" width="13.140625" hidden="1" customWidth="1"/>
    <col min="11" max="11" width="17.5703125" customWidth="1"/>
    <col min="12" max="12" width="17" customWidth="1"/>
    <col min="13" max="13" width="13" customWidth="1"/>
    <col min="14" max="14" width="13.85546875" customWidth="1"/>
    <col min="24" max="24" width="17.5703125" customWidth="1"/>
    <col min="41" max="41" width="13.85546875" customWidth="1"/>
    <col min="43" max="43" width="28" customWidth="1"/>
    <col min="46" max="50" width="11.42578125" hidden="1" customWidth="1"/>
    <col min="55" max="55" width="14" hidden="1" customWidth="1"/>
  </cols>
  <sheetData>
    <row r="1" spans="1:72" ht="18" x14ac:dyDescent="0.25">
      <c r="A1" s="22" t="s">
        <v>255</v>
      </c>
      <c r="AO1" s="22" t="s">
        <v>271</v>
      </c>
      <c r="AP1" s="100"/>
    </row>
    <row r="2" spans="1:72" x14ac:dyDescent="0.2">
      <c r="A2" s="27" t="s">
        <v>320</v>
      </c>
      <c r="G2" s="155" t="s">
        <v>246</v>
      </c>
      <c r="AP2" s="100"/>
    </row>
    <row r="3" spans="1:72" x14ac:dyDescent="0.2">
      <c r="A3" s="470" t="str">
        <f>Hono_Acum!A2</f>
        <v>Ejercicio Fiscal de 2010</v>
      </c>
      <c r="G3" s="155"/>
      <c r="AP3" s="100"/>
      <c r="AS3" s="155" t="s">
        <v>56</v>
      </c>
    </row>
    <row r="4" spans="1:72" x14ac:dyDescent="0.2">
      <c r="A4" s="569" t="s">
        <v>162</v>
      </c>
      <c r="B4" s="570"/>
      <c r="E4" s="100" t="s">
        <v>182</v>
      </c>
      <c r="G4" s="155"/>
      <c r="N4" s="483"/>
      <c r="AP4" s="100"/>
      <c r="BT4" s="371" t="s">
        <v>509</v>
      </c>
    </row>
    <row r="5" spans="1:72" x14ac:dyDescent="0.2">
      <c r="B5" s="101" t="s">
        <v>160</v>
      </c>
      <c r="C5" s="101" t="s">
        <v>161</v>
      </c>
      <c r="E5" s="101" t="s">
        <v>183</v>
      </c>
      <c r="F5" s="266"/>
      <c r="G5" s="302"/>
      <c r="H5" s="266"/>
      <c r="V5" s="564" t="s">
        <v>502</v>
      </c>
      <c r="W5" s="565"/>
      <c r="AO5" s="184" t="s">
        <v>272</v>
      </c>
      <c r="AP5" s="226"/>
      <c r="AQ5" s="120">
        <f>C40</f>
        <v>0</v>
      </c>
      <c r="AR5" s="204"/>
      <c r="AT5" s="553" t="s">
        <v>171</v>
      </c>
      <c r="AU5" s="554"/>
      <c r="AV5" s="554"/>
      <c r="AW5" s="554"/>
      <c r="AX5" s="555"/>
      <c r="AZ5" s="235" t="s">
        <v>237</v>
      </c>
      <c r="BA5" s="230"/>
      <c r="BC5" s="295" t="s">
        <v>171</v>
      </c>
    </row>
    <row r="6" spans="1:72" x14ac:dyDescent="0.2">
      <c r="B6" s="102" t="s">
        <v>2</v>
      </c>
      <c r="C6" s="102" t="s">
        <v>2</v>
      </c>
      <c r="E6" s="102" t="s">
        <v>47</v>
      </c>
      <c r="H6" s="266"/>
      <c r="AO6" s="111" t="s">
        <v>237</v>
      </c>
      <c r="AP6" s="111" t="s">
        <v>47</v>
      </c>
      <c r="AQ6" s="111"/>
      <c r="AR6" s="111" t="s">
        <v>11</v>
      </c>
      <c r="AS6" s="111" t="s">
        <v>185</v>
      </c>
      <c r="AT6" s="111" t="s">
        <v>265</v>
      </c>
      <c r="AU6" s="111"/>
      <c r="AV6" s="111"/>
      <c r="AW6" s="111" t="s">
        <v>112</v>
      </c>
      <c r="AX6" s="111" t="s">
        <v>269</v>
      </c>
      <c r="AY6" s="231"/>
      <c r="AZ6" s="112" t="s">
        <v>274</v>
      </c>
      <c r="BA6" s="297" t="s">
        <v>276</v>
      </c>
      <c r="BB6" s="233" t="s">
        <v>138</v>
      </c>
      <c r="BC6" s="233" t="s">
        <v>342</v>
      </c>
      <c r="BD6" s="297" t="s">
        <v>112</v>
      </c>
      <c r="BE6" s="299" t="s">
        <v>279</v>
      </c>
    </row>
    <row r="7" spans="1:72" x14ac:dyDescent="0.2">
      <c r="A7" t="s">
        <v>585</v>
      </c>
      <c r="B7" s="197">
        <v>0</v>
      </c>
      <c r="C7" s="197">
        <v>0</v>
      </c>
      <c r="D7" s="303"/>
      <c r="E7" s="77">
        <v>0</v>
      </c>
      <c r="F7" s="253">
        <f>IF(C7=1,B7-1,B7)</f>
        <v>0</v>
      </c>
      <c r="G7" s="253">
        <f>IF(C7=1,13,C7)</f>
        <v>0</v>
      </c>
      <c r="H7" s="266"/>
      <c r="I7" s="266"/>
      <c r="L7" s="220"/>
      <c r="M7" s="220"/>
      <c r="N7" s="220"/>
      <c r="AO7" s="113" t="s">
        <v>270</v>
      </c>
      <c r="AP7" s="222">
        <v>0</v>
      </c>
      <c r="AQ7" s="113" t="s">
        <v>264</v>
      </c>
      <c r="AR7" s="113" t="s">
        <v>111</v>
      </c>
      <c r="AS7" s="113" t="s">
        <v>186</v>
      </c>
      <c r="AT7" s="113" t="s">
        <v>266</v>
      </c>
      <c r="AU7" s="113" t="s">
        <v>10</v>
      </c>
      <c r="AV7" s="113" t="s">
        <v>11</v>
      </c>
      <c r="AW7" s="113" t="s">
        <v>267</v>
      </c>
      <c r="AX7" s="113" t="s">
        <v>268</v>
      </c>
      <c r="AY7" s="232" t="s">
        <v>112</v>
      </c>
      <c r="AZ7" s="123" t="s">
        <v>275</v>
      </c>
      <c r="BA7" s="298" t="s">
        <v>277</v>
      </c>
      <c r="BB7" s="234" t="s">
        <v>273</v>
      </c>
      <c r="BC7" s="234" t="s">
        <v>186</v>
      </c>
      <c r="BD7" s="298" t="s">
        <v>278</v>
      </c>
      <c r="BE7" s="300" t="s">
        <v>280</v>
      </c>
    </row>
    <row r="8" spans="1:72" x14ac:dyDescent="0.2">
      <c r="A8" t="s">
        <v>184</v>
      </c>
      <c r="B8" s="487">
        <f>B7</f>
        <v>0</v>
      </c>
      <c r="C8" s="488">
        <f>C7</f>
        <v>0</v>
      </c>
      <c r="D8" s="303"/>
      <c r="E8" s="77">
        <v>0</v>
      </c>
      <c r="F8" s="253">
        <f>IF(C8=1,B8-1,B8)</f>
        <v>0</v>
      </c>
      <c r="G8" s="293">
        <f>IF(C8=1,13,C8)</f>
        <v>0</v>
      </c>
      <c r="H8" s="266"/>
      <c r="I8" s="266"/>
      <c r="Y8" s="155" t="s">
        <v>468</v>
      </c>
      <c r="AP8" s="100"/>
      <c r="AR8" s="227">
        <f>SUM(AR9:AR502)</f>
        <v>0</v>
      </c>
      <c r="AY8" s="229"/>
      <c r="BA8" s="239">
        <f>SUM(BA9:BA502)</f>
        <v>0</v>
      </c>
      <c r="BD8" s="239">
        <f>SUM(BD9:BD502)</f>
        <v>0</v>
      </c>
      <c r="BE8" s="239">
        <f>BA8+BD8</f>
        <v>0</v>
      </c>
    </row>
    <row r="9" spans="1:72" x14ac:dyDescent="0.2">
      <c r="C9" s="118" t="s">
        <v>181</v>
      </c>
      <c r="D9" s="266"/>
      <c r="E9" s="104">
        <f>SUM(E7:E8)</f>
        <v>0</v>
      </c>
      <c r="F9" s="571" t="s">
        <v>362</v>
      </c>
      <c r="G9" s="572"/>
      <c r="H9" s="266"/>
      <c r="I9" s="266"/>
      <c r="J9" s="499"/>
      <c r="K9" s="500"/>
      <c r="L9" s="501"/>
      <c r="M9" s="371" t="s">
        <v>47</v>
      </c>
      <c r="AP9" s="221">
        <f>IF(AP7=0,0,1)</f>
        <v>0</v>
      </c>
      <c r="AQ9" s="258" t="s">
        <v>136</v>
      </c>
      <c r="AR9" s="225">
        <v>0</v>
      </c>
      <c r="AS9" s="223">
        <f>IF(AP9=0,0,ROUND($AQ$5*AR9,2))</f>
        <v>0</v>
      </c>
      <c r="AT9" s="82" t="e">
        <f t="shared" ref="AT9:AT44" si="0">VLOOKUP($AS9,Anual,1)</f>
        <v>#N/A</v>
      </c>
      <c r="AU9" s="223" t="e">
        <f>AS9-AT9</f>
        <v>#N/A</v>
      </c>
      <c r="AV9" s="218" t="e">
        <f t="shared" ref="AV9:AV44" si="1">VLOOKUP($AS9,Anual,4)</f>
        <v>#N/A</v>
      </c>
      <c r="AW9" s="82" t="e">
        <f>ROUND(AU9*AV9,2)</f>
        <v>#N/A</v>
      </c>
      <c r="AX9" s="82" t="e">
        <f t="shared" ref="AX9:AX44" si="2">VLOOKUP($AS9,Anual,3)</f>
        <v>#N/A</v>
      </c>
      <c r="AY9" s="223">
        <f>IF(AS9=0,0,AW9+AX9)</f>
        <v>0</v>
      </c>
      <c r="AZ9" s="236">
        <f>L29</f>
        <v>0</v>
      </c>
      <c r="BA9" s="238">
        <f>ROUND(AY9*AZ9,2)</f>
        <v>0</v>
      </c>
      <c r="BB9" s="228" t="str">
        <f>IF(AP9=0,"",IF(AS9&lt;=0,0,ROUND(AY9/AS9,4)))</f>
        <v/>
      </c>
      <c r="BC9" s="296">
        <f>IF(BB9="",0,$C$41*AR9)</f>
        <v>0</v>
      </c>
      <c r="BD9" s="82">
        <f>IF(BC9=0,0,ROUND(BC9*BB9,2))</f>
        <v>0</v>
      </c>
      <c r="BE9" s="223">
        <f>BA9+BD9</f>
        <v>0</v>
      </c>
    </row>
    <row r="10" spans="1:72" x14ac:dyDescent="0.2">
      <c r="D10" s="266"/>
      <c r="H10" s="266"/>
      <c r="I10" s="266"/>
      <c r="AP10" s="221">
        <f>IF(AP9=0,0,IF(AP9&gt;=$AP$7,0,AP9+1))</f>
        <v>0</v>
      </c>
      <c r="AQ10" s="258" t="s">
        <v>136</v>
      </c>
      <c r="AR10" s="225">
        <f>AR9</f>
        <v>0</v>
      </c>
      <c r="AS10" s="223">
        <f t="shared" ref="AS10:AS44" si="3">IF(AP10=0,0,ROUND($AQ$5*AR10,2))</f>
        <v>0</v>
      </c>
      <c r="AT10" s="82" t="e">
        <f t="shared" si="0"/>
        <v>#N/A</v>
      </c>
      <c r="AU10" s="223" t="e">
        <f t="shared" ref="AU10:AU44" si="4">AS10-AT10</f>
        <v>#N/A</v>
      </c>
      <c r="AV10" s="218" t="e">
        <f t="shared" si="1"/>
        <v>#N/A</v>
      </c>
      <c r="AW10" s="82" t="e">
        <f t="shared" ref="AW10:AW44" si="5">ROUND(AU10*AV10,2)</f>
        <v>#N/A</v>
      </c>
      <c r="AX10" s="82" t="e">
        <f t="shared" si="2"/>
        <v>#N/A</v>
      </c>
      <c r="AY10" s="223">
        <f t="shared" ref="AY10:AY44" si="6">IF(AS10=0,0,AW10+AX10)</f>
        <v>0</v>
      </c>
      <c r="AZ10" s="237">
        <f>IF(AP10=0,0,AZ9)</f>
        <v>0</v>
      </c>
      <c r="BA10" s="238">
        <f t="shared" ref="BA10:BA44" si="7">ROUND(AY10*AZ10,2)</f>
        <v>0</v>
      </c>
      <c r="BB10" s="228" t="str">
        <f>IF(AP10=0,"",IF(AS10&lt;=0,0,ROUND(AY10/AS10,4)))</f>
        <v/>
      </c>
      <c r="BC10" s="296">
        <f t="shared" ref="BC10:BC44" si="8">IF(BB10="",0,$C$41*AR10)</f>
        <v>0</v>
      </c>
      <c r="BD10" s="82">
        <f t="shared" ref="BD10:BD44" si="9">IF(BC10=0,0,ROUND(BC10*BB10,2))</f>
        <v>0</v>
      </c>
      <c r="BE10" s="223">
        <f t="shared" ref="BE10:BE44" si="10">BA10+BD10</f>
        <v>0</v>
      </c>
    </row>
    <row r="11" spans="1:72" x14ac:dyDescent="0.2">
      <c r="F11" s="266"/>
      <c r="G11" s="266"/>
      <c r="H11" s="266"/>
      <c r="I11" s="266"/>
      <c r="AP11" s="221">
        <f t="shared" ref="AP11:AP44" si="11">IF(AP10=0,0,IF(AP10&gt;=$AP$7,0,AP10+1))</f>
        <v>0</v>
      </c>
      <c r="AQ11" s="258" t="s">
        <v>136</v>
      </c>
      <c r="AR11" s="225">
        <f t="shared" ref="AR11:AR44" si="12">AR10</f>
        <v>0</v>
      </c>
      <c r="AS11" s="223">
        <f t="shared" si="3"/>
        <v>0</v>
      </c>
      <c r="AT11" s="82" t="e">
        <f t="shared" si="0"/>
        <v>#N/A</v>
      </c>
      <c r="AU11" s="223" t="e">
        <f t="shared" si="4"/>
        <v>#N/A</v>
      </c>
      <c r="AV11" s="218" t="e">
        <f t="shared" si="1"/>
        <v>#N/A</v>
      </c>
      <c r="AW11" s="82" t="e">
        <f t="shared" si="5"/>
        <v>#N/A</v>
      </c>
      <c r="AX11" s="82" t="e">
        <f t="shared" si="2"/>
        <v>#N/A</v>
      </c>
      <c r="AY11" s="223">
        <f t="shared" si="6"/>
        <v>0</v>
      </c>
      <c r="AZ11" s="237">
        <f t="shared" ref="AZ11:AZ44" si="13">IF(AP11=0,0,AZ10)</f>
        <v>0</v>
      </c>
      <c r="BA11" s="238">
        <f t="shared" si="7"/>
        <v>0</v>
      </c>
      <c r="BB11" s="228" t="str">
        <f t="shared" ref="BB11:BB44" si="14">IF(AP11=0,"",IF(AS11&lt;=0,0,ROUND(AY11/AS11,4)))</f>
        <v/>
      </c>
      <c r="BC11" s="296">
        <f t="shared" si="8"/>
        <v>0</v>
      </c>
      <c r="BD11" s="82">
        <f t="shared" si="9"/>
        <v>0</v>
      </c>
      <c r="BE11" s="223">
        <f t="shared" si="10"/>
        <v>0</v>
      </c>
    </row>
    <row r="12" spans="1:72" x14ac:dyDescent="0.2">
      <c r="L12" s="49"/>
      <c r="M12" s="49"/>
      <c r="N12" s="49"/>
      <c r="V12" s="1" t="s">
        <v>251</v>
      </c>
      <c r="W12" s="1"/>
      <c r="X12" s="1">
        <f>+C40</f>
        <v>0</v>
      </c>
      <c r="AP12" s="221">
        <f t="shared" si="11"/>
        <v>0</v>
      </c>
      <c r="AQ12" s="258" t="s">
        <v>136</v>
      </c>
      <c r="AR12" s="225">
        <f t="shared" si="12"/>
        <v>0</v>
      </c>
      <c r="AS12" s="223">
        <f t="shared" si="3"/>
        <v>0</v>
      </c>
      <c r="AT12" s="82" t="e">
        <f t="shared" si="0"/>
        <v>#N/A</v>
      </c>
      <c r="AU12" s="223" t="e">
        <f t="shared" si="4"/>
        <v>#N/A</v>
      </c>
      <c r="AV12" s="218" t="e">
        <f t="shared" si="1"/>
        <v>#N/A</v>
      </c>
      <c r="AW12" s="82" t="e">
        <f t="shared" si="5"/>
        <v>#N/A</v>
      </c>
      <c r="AX12" s="82" t="e">
        <f t="shared" si="2"/>
        <v>#N/A</v>
      </c>
      <c r="AY12" s="223">
        <f t="shared" si="6"/>
        <v>0</v>
      </c>
      <c r="AZ12" s="237">
        <f t="shared" si="13"/>
        <v>0</v>
      </c>
      <c r="BA12" s="238">
        <f t="shared" si="7"/>
        <v>0</v>
      </c>
      <c r="BB12" s="228" t="str">
        <f t="shared" si="14"/>
        <v/>
      </c>
      <c r="BC12" s="296">
        <f t="shared" si="8"/>
        <v>0</v>
      </c>
      <c r="BD12" s="82">
        <f t="shared" si="9"/>
        <v>0</v>
      </c>
      <c r="BE12" s="223">
        <f t="shared" si="10"/>
        <v>0</v>
      </c>
    </row>
    <row r="13" spans="1:72" ht="15.75" x14ac:dyDescent="0.25">
      <c r="A13" s="573" t="s">
        <v>321</v>
      </c>
      <c r="B13" s="574"/>
      <c r="D13" s="279" t="s">
        <v>171</v>
      </c>
      <c r="E13" s="294"/>
      <c r="F13" s="49"/>
      <c r="G13" s="49"/>
      <c r="H13" s="566" t="s">
        <v>171</v>
      </c>
      <c r="I13" s="567"/>
      <c r="L13" s="49"/>
      <c r="M13" s="49"/>
      <c r="N13" s="49"/>
      <c r="V13" s="1" t="s">
        <v>9</v>
      </c>
      <c r="W13" s="1"/>
      <c r="X13" s="3" t="e">
        <f>+VLOOKUP($X$12,Anual,1)</f>
        <v>#N/A</v>
      </c>
      <c r="AP13" s="221">
        <f t="shared" si="11"/>
        <v>0</v>
      </c>
      <c r="AQ13" s="258" t="s">
        <v>136</v>
      </c>
      <c r="AR13" s="225">
        <f t="shared" si="12"/>
        <v>0</v>
      </c>
      <c r="AS13" s="223">
        <f t="shared" si="3"/>
        <v>0</v>
      </c>
      <c r="AT13" s="82" t="e">
        <f t="shared" si="0"/>
        <v>#N/A</v>
      </c>
      <c r="AU13" s="223" t="e">
        <f t="shared" si="4"/>
        <v>#N/A</v>
      </c>
      <c r="AV13" s="218" t="e">
        <f t="shared" si="1"/>
        <v>#N/A</v>
      </c>
      <c r="AW13" s="82" t="e">
        <f t="shared" si="5"/>
        <v>#N/A</v>
      </c>
      <c r="AX13" s="82" t="e">
        <f t="shared" si="2"/>
        <v>#N/A</v>
      </c>
      <c r="AY13" s="223">
        <f t="shared" si="6"/>
        <v>0</v>
      </c>
      <c r="AZ13" s="237">
        <f t="shared" si="13"/>
        <v>0</v>
      </c>
      <c r="BA13" s="238">
        <f t="shared" si="7"/>
        <v>0</v>
      </c>
      <c r="BB13" s="228" t="str">
        <f t="shared" si="14"/>
        <v/>
      </c>
      <c r="BC13" s="296">
        <f t="shared" si="8"/>
        <v>0</v>
      </c>
      <c r="BD13" s="82">
        <f t="shared" si="9"/>
        <v>0</v>
      </c>
      <c r="BE13" s="223">
        <f t="shared" si="10"/>
        <v>0</v>
      </c>
    </row>
    <row r="14" spans="1:72" x14ac:dyDescent="0.2">
      <c r="A14" s="187"/>
      <c r="B14" s="276"/>
      <c r="C14" s="115"/>
      <c r="D14" s="105"/>
      <c r="E14" s="240"/>
      <c r="F14" s="111" t="s">
        <v>174</v>
      </c>
      <c r="G14" s="111" t="s">
        <v>177</v>
      </c>
      <c r="H14" s="105"/>
      <c r="I14" s="105" t="s">
        <v>165</v>
      </c>
      <c r="J14" s="111"/>
      <c r="K14" s="115"/>
      <c r="L14" s="111" t="s">
        <v>331</v>
      </c>
      <c r="M14" s="49"/>
      <c r="N14" s="49"/>
      <c r="V14" s="1" t="s">
        <v>10</v>
      </c>
      <c r="W14" s="1"/>
      <c r="X14" s="1" t="e">
        <f>+X12-X13</f>
        <v>#N/A</v>
      </c>
      <c r="AP14" s="221">
        <f t="shared" si="11"/>
        <v>0</v>
      </c>
      <c r="AQ14" s="258" t="s">
        <v>136</v>
      </c>
      <c r="AR14" s="225">
        <f t="shared" si="12"/>
        <v>0</v>
      </c>
      <c r="AS14" s="223">
        <f t="shared" si="3"/>
        <v>0</v>
      </c>
      <c r="AT14" s="82" t="e">
        <f t="shared" si="0"/>
        <v>#N/A</v>
      </c>
      <c r="AU14" s="223" t="e">
        <f t="shared" si="4"/>
        <v>#N/A</v>
      </c>
      <c r="AV14" s="218" t="e">
        <f t="shared" si="1"/>
        <v>#N/A</v>
      </c>
      <c r="AW14" s="82" t="e">
        <f t="shared" si="5"/>
        <v>#N/A</v>
      </c>
      <c r="AX14" s="82" t="e">
        <f t="shared" si="2"/>
        <v>#N/A</v>
      </c>
      <c r="AY14" s="223">
        <f t="shared" si="6"/>
        <v>0</v>
      </c>
      <c r="AZ14" s="237">
        <f t="shared" si="13"/>
        <v>0</v>
      </c>
      <c r="BA14" s="238">
        <f t="shared" si="7"/>
        <v>0</v>
      </c>
      <c r="BB14" s="228" t="str">
        <f t="shared" si="14"/>
        <v/>
      </c>
      <c r="BC14" s="296">
        <f t="shared" si="8"/>
        <v>0</v>
      </c>
      <c r="BD14" s="82">
        <f t="shared" si="9"/>
        <v>0</v>
      </c>
      <c r="BE14" s="223">
        <f t="shared" si="10"/>
        <v>0</v>
      </c>
    </row>
    <row r="15" spans="1:72" x14ac:dyDescent="0.2">
      <c r="A15" s="559" t="s">
        <v>322</v>
      </c>
      <c r="B15" s="560"/>
      <c r="C15" s="121"/>
      <c r="D15" s="106" t="s">
        <v>142</v>
      </c>
      <c r="E15" s="122" t="s">
        <v>142</v>
      </c>
      <c r="F15" s="112" t="s">
        <v>175</v>
      </c>
      <c r="G15" s="112" t="s">
        <v>178</v>
      </c>
      <c r="H15" s="106" t="s">
        <v>163</v>
      </c>
      <c r="I15" s="106" t="s">
        <v>166</v>
      </c>
      <c r="J15" s="112" t="s">
        <v>168</v>
      </c>
      <c r="K15" s="112" t="s">
        <v>159</v>
      </c>
      <c r="L15" s="112" t="s">
        <v>332</v>
      </c>
      <c r="M15" s="193"/>
      <c r="N15" s="193"/>
      <c r="V15" s="1" t="s">
        <v>11</v>
      </c>
      <c r="W15" s="1"/>
      <c r="X15" s="73" t="e">
        <f>+VLOOKUP($X$12,Anual,4)</f>
        <v>#N/A</v>
      </c>
      <c r="AP15" s="221">
        <f t="shared" si="11"/>
        <v>0</v>
      </c>
      <c r="AQ15" s="258" t="s">
        <v>136</v>
      </c>
      <c r="AR15" s="225">
        <f t="shared" si="12"/>
        <v>0</v>
      </c>
      <c r="AS15" s="223">
        <f t="shared" si="3"/>
        <v>0</v>
      </c>
      <c r="AT15" s="82" t="e">
        <f t="shared" si="0"/>
        <v>#N/A</v>
      </c>
      <c r="AU15" s="223" t="e">
        <f t="shared" si="4"/>
        <v>#N/A</v>
      </c>
      <c r="AV15" s="218" t="e">
        <f t="shared" si="1"/>
        <v>#N/A</v>
      </c>
      <c r="AW15" s="82" t="e">
        <f t="shared" si="5"/>
        <v>#N/A</v>
      </c>
      <c r="AX15" s="82" t="e">
        <f t="shared" si="2"/>
        <v>#N/A</v>
      </c>
      <c r="AY15" s="223">
        <f t="shared" si="6"/>
        <v>0</v>
      </c>
      <c r="AZ15" s="237">
        <f t="shared" si="13"/>
        <v>0</v>
      </c>
      <c r="BA15" s="238">
        <f t="shared" si="7"/>
        <v>0</v>
      </c>
      <c r="BB15" s="228" t="str">
        <f t="shared" si="14"/>
        <v/>
      </c>
      <c r="BC15" s="296">
        <f t="shared" si="8"/>
        <v>0</v>
      </c>
      <c r="BD15" s="82">
        <f t="shared" si="9"/>
        <v>0</v>
      </c>
      <c r="BE15" s="223">
        <f t="shared" si="10"/>
        <v>0</v>
      </c>
    </row>
    <row r="16" spans="1:72" x14ac:dyDescent="0.2">
      <c r="A16" s="113" t="s">
        <v>160</v>
      </c>
      <c r="B16" s="113" t="s">
        <v>161</v>
      </c>
      <c r="C16" s="113" t="s">
        <v>249</v>
      </c>
      <c r="D16" s="114" t="s">
        <v>172</v>
      </c>
      <c r="E16" s="123" t="s">
        <v>172</v>
      </c>
      <c r="F16" s="113" t="s">
        <v>176</v>
      </c>
      <c r="G16" s="113" t="s">
        <v>179</v>
      </c>
      <c r="H16" s="107" t="s">
        <v>164</v>
      </c>
      <c r="I16" s="107" t="s">
        <v>167</v>
      </c>
      <c r="J16" s="123" t="s">
        <v>169</v>
      </c>
      <c r="K16" s="123" t="s">
        <v>170</v>
      </c>
      <c r="L16" s="113" t="s">
        <v>333</v>
      </c>
      <c r="M16" s="193"/>
      <c r="N16" s="193"/>
      <c r="V16" s="1" t="s">
        <v>12</v>
      </c>
      <c r="W16" s="1"/>
      <c r="X16" s="1" t="e">
        <f>ROUND(X14*X15,2)</f>
        <v>#N/A</v>
      </c>
      <c r="AP16" s="221">
        <f t="shared" si="11"/>
        <v>0</v>
      </c>
      <c r="AQ16" s="258" t="s">
        <v>136</v>
      </c>
      <c r="AR16" s="225">
        <f t="shared" si="12"/>
        <v>0</v>
      </c>
      <c r="AS16" s="223">
        <f t="shared" si="3"/>
        <v>0</v>
      </c>
      <c r="AT16" s="82" t="e">
        <f t="shared" si="0"/>
        <v>#N/A</v>
      </c>
      <c r="AU16" s="223" t="e">
        <f t="shared" si="4"/>
        <v>#N/A</v>
      </c>
      <c r="AV16" s="218" t="e">
        <f t="shared" si="1"/>
        <v>#N/A</v>
      </c>
      <c r="AW16" s="82" t="e">
        <f t="shared" si="5"/>
        <v>#N/A</v>
      </c>
      <c r="AX16" s="82" t="e">
        <f t="shared" si="2"/>
        <v>#N/A</v>
      </c>
      <c r="AY16" s="223">
        <f t="shared" si="6"/>
        <v>0</v>
      </c>
      <c r="AZ16" s="237">
        <f t="shared" si="13"/>
        <v>0</v>
      </c>
      <c r="BA16" s="238">
        <f t="shared" si="7"/>
        <v>0</v>
      </c>
      <c r="BB16" s="228" t="str">
        <f t="shared" si="14"/>
        <v/>
      </c>
      <c r="BC16" s="296">
        <f t="shared" si="8"/>
        <v>0</v>
      </c>
      <c r="BD16" s="82">
        <f t="shared" si="9"/>
        <v>0</v>
      </c>
      <c r="BE16" s="223">
        <f t="shared" si="10"/>
        <v>0</v>
      </c>
    </row>
    <row r="17" spans="1:57" x14ac:dyDescent="0.2">
      <c r="A17" s="102" t="s">
        <v>47</v>
      </c>
      <c r="B17" s="102" t="s">
        <v>47</v>
      </c>
      <c r="C17" s="102" t="s">
        <v>47</v>
      </c>
      <c r="D17" s="102"/>
      <c r="E17" s="102"/>
      <c r="F17" s="102"/>
      <c r="G17" s="102"/>
      <c r="K17" s="49"/>
      <c r="L17" s="49"/>
      <c r="M17" s="49"/>
      <c r="N17" s="49"/>
      <c r="V17" s="1" t="s">
        <v>13</v>
      </c>
      <c r="W17" s="1"/>
      <c r="X17" s="3" t="e">
        <f>+VLOOKUP($X$12,Anual,3)</f>
        <v>#N/A</v>
      </c>
      <c r="AP17" s="221">
        <f t="shared" si="11"/>
        <v>0</v>
      </c>
      <c r="AQ17" s="258" t="s">
        <v>136</v>
      </c>
      <c r="AR17" s="225">
        <f t="shared" si="12"/>
        <v>0</v>
      </c>
      <c r="AS17" s="223">
        <f t="shared" si="3"/>
        <v>0</v>
      </c>
      <c r="AT17" s="82" t="e">
        <f t="shared" si="0"/>
        <v>#N/A</v>
      </c>
      <c r="AU17" s="223" t="e">
        <f t="shared" si="4"/>
        <v>#N/A</v>
      </c>
      <c r="AV17" s="218" t="e">
        <f t="shared" si="1"/>
        <v>#N/A</v>
      </c>
      <c r="AW17" s="82" t="e">
        <f t="shared" si="5"/>
        <v>#N/A</v>
      </c>
      <c r="AX17" s="82" t="e">
        <f t="shared" si="2"/>
        <v>#N/A</v>
      </c>
      <c r="AY17" s="223">
        <f t="shared" si="6"/>
        <v>0</v>
      </c>
      <c r="AZ17" s="237">
        <f t="shared" si="13"/>
        <v>0</v>
      </c>
      <c r="BA17" s="238">
        <f t="shared" si="7"/>
        <v>0</v>
      </c>
      <c r="BB17" s="228" t="str">
        <f t="shared" si="14"/>
        <v/>
      </c>
      <c r="BC17" s="296">
        <f t="shared" si="8"/>
        <v>0</v>
      </c>
      <c r="BD17" s="82">
        <f t="shared" si="9"/>
        <v>0</v>
      </c>
      <c r="BE17" s="223">
        <f t="shared" si="10"/>
        <v>0</v>
      </c>
    </row>
    <row r="18" spans="1:57" x14ac:dyDescent="0.2">
      <c r="A18" s="561" t="s">
        <v>324</v>
      </c>
      <c r="B18" s="562"/>
      <c r="V18" s="1" t="s">
        <v>14</v>
      </c>
      <c r="W18" s="1"/>
      <c r="X18" s="41">
        <f>IF(X12=0,0,X16+X17)</f>
        <v>0</v>
      </c>
      <c r="AP18" s="221">
        <f t="shared" si="11"/>
        <v>0</v>
      </c>
      <c r="AQ18" s="258" t="s">
        <v>136</v>
      </c>
      <c r="AR18" s="225">
        <f t="shared" si="12"/>
        <v>0</v>
      </c>
      <c r="AS18" s="223">
        <f t="shared" si="3"/>
        <v>0</v>
      </c>
      <c r="AT18" s="82" t="e">
        <f t="shared" si="0"/>
        <v>#N/A</v>
      </c>
      <c r="AU18" s="223" t="e">
        <f t="shared" si="4"/>
        <v>#N/A</v>
      </c>
      <c r="AV18" s="218" t="e">
        <f t="shared" si="1"/>
        <v>#N/A</v>
      </c>
      <c r="AW18" s="82" t="e">
        <f t="shared" si="5"/>
        <v>#N/A</v>
      </c>
      <c r="AX18" s="82" t="e">
        <f t="shared" si="2"/>
        <v>#N/A</v>
      </c>
      <c r="AY18" s="223">
        <f t="shared" si="6"/>
        <v>0</v>
      </c>
      <c r="AZ18" s="237">
        <f t="shared" si="13"/>
        <v>0</v>
      </c>
      <c r="BA18" s="238">
        <f t="shared" si="7"/>
        <v>0</v>
      </c>
      <c r="BB18" s="228" t="str">
        <f t="shared" si="14"/>
        <v/>
      </c>
      <c r="BC18" s="296">
        <f t="shared" si="8"/>
        <v>0</v>
      </c>
      <c r="BD18" s="82">
        <f t="shared" si="9"/>
        <v>0</v>
      </c>
      <c r="BE18" s="223">
        <f t="shared" si="10"/>
        <v>0</v>
      </c>
    </row>
    <row r="19" spans="1:57" x14ac:dyDescent="0.2">
      <c r="A19" s="198">
        <v>0</v>
      </c>
      <c r="B19" s="198">
        <v>0</v>
      </c>
      <c r="C19" s="77">
        <v>0</v>
      </c>
      <c r="D19" s="117">
        <f>IF(A19=0,0,$B$7-A19)</f>
        <v>0</v>
      </c>
      <c r="E19" s="280">
        <f>IF(B19&gt;$C$7,D19-1,D19)</f>
        <v>0</v>
      </c>
      <c r="F19" s="78">
        <f>IF(C19=0,0,IF(E19&gt;34,C19,ROUND((C19*0.03)*E19,2)))</f>
        <v>0</v>
      </c>
      <c r="G19" s="78">
        <f>IF((C19-F19)&lt;(C19*0.2),ROUND(C19*0.2,2),C19-F19)</f>
        <v>0</v>
      </c>
      <c r="H19" s="181">
        <f>IF(B19=0,0,VLOOKUP(A19,INPC,B19+1))</f>
        <v>0</v>
      </c>
      <c r="I19" s="116" t="e">
        <f>VLOOKUP(F7,INPC,G7)</f>
        <v>#N/A</v>
      </c>
      <c r="J19" s="182">
        <f>IF(H19=0,0,ROUND(I19/H19,4))</f>
        <v>0</v>
      </c>
      <c r="K19" s="78">
        <f>ROUND(G19*J19,2)</f>
        <v>0</v>
      </c>
      <c r="L19" s="274"/>
      <c r="M19" s="287"/>
      <c r="N19" s="288"/>
      <c r="V19" s="1"/>
      <c r="W19" s="1"/>
      <c r="X19" s="10"/>
      <c r="AP19" s="221">
        <f t="shared" si="11"/>
        <v>0</v>
      </c>
      <c r="AQ19" s="258" t="s">
        <v>136</v>
      </c>
      <c r="AR19" s="225">
        <f t="shared" si="12"/>
        <v>0</v>
      </c>
      <c r="AS19" s="223">
        <f t="shared" si="3"/>
        <v>0</v>
      </c>
      <c r="AT19" s="82" t="e">
        <f t="shared" si="0"/>
        <v>#N/A</v>
      </c>
      <c r="AU19" s="223" t="e">
        <f t="shared" si="4"/>
        <v>#N/A</v>
      </c>
      <c r="AV19" s="218" t="e">
        <f t="shared" si="1"/>
        <v>#N/A</v>
      </c>
      <c r="AW19" s="82" t="e">
        <f t="shared" si="5"/>
        <v>#N/A</v>
      </c>
      <c r="AX19" s="82" t="e">
        <f t="shared" si="2"/>
        <v>#N/A</v>
      </c>
      <c r="AY19" s="223">
        <f t="shared" si="6"/>
        <v>0</v>
      </c>
      <c r="AZ19" s="237">
        <f t="shared" si="13"/>
        <v>0</v>
      </c>
      <c r="BA19" s="238">
        <f t="shared" si="7"/>
        <v>0</v>
      </c>
      <c r="BB19" s="228" t="str">
        <f t="shared" si="14"/>
        <v/>
      </c>
      <c r="BC19" s="296">
        <f t="shared" si="8"/>
        <v>0</v>
      </c>
      <c r="BD19" s="82">
        <f t="shared" si="9"/>
        <v>0</v>
      </c>
      <c r="BE19" s="223">
        <f t="shared" si="10"/>
        <v>0</v>
      </c>
    </row>
    <row r="20" spans="1:57" x14ac:dyDescent="0.2">
      <c r="L20" s="49"/>
      <c r="M20" s="49"/>
      <c r="N20" s="49"/>
      <c r="V20" s="1" t="s">
        <v>336</v>
      </c>
      <c r="AP20" s="221">
        <f t="shared" si="11"/>
        <v>0</v>
      </c>
      <c r="AQ20" s="258" t="s">
        <v>136</v>
      </c>
      <c r="AR20" s="225">
        <f t="shared" si="12"/>
        <v>0</v>
      </c>
      <c r="AS20" s="223">
        <f t="shared" si="3"/>
        <v>0</v>
      </c>
      <c r="AT20" s="82" t="e">
        <f t="shared" si="0"/>
        <v>#N/A</v>
      </c>
      <c r="AU20" s="223" t="e">
        <f t="shared" si="4"/>
        <v>#N/A</v>
      </c>
      <c r="AV20" s="218" t="e">
        <f t="shared" si="1"/>
        <v>#N/A</v>
      </c>
      <c r="AW20" s="82" t="e">
        <f t="shared" si="5"/>
        <v>#N/A</v>
      </c>
      <c r="AX20" s="82" t="e">
        <f t="shared" si="2"/>
        <v>#N/A</v>
      </c>
      <c r="AY20" s="223">
        <f t="shared" si="6"/>
        <v>0</v>
      </c>
      <c r="AZ20" s="237">
        <f t="shared" si="13"/>
        <v>0</v>
      </c>
      <c r="BA20" s="238">
        <f t="shared" si="7"/>
        <v>0</v>
      </c>
      <c r="BB20" s="228" t="str">
        <f t="shared" si="14"/>
        <v/>
      </c>
      <c r="BC20" s="296">
        <f t="shared" si="8"/>
        <v>0</v>
      </c>
      <c r="BD20" s="82">
        <f t="shared" si="9"/>
        <v>0</v>
      </c>
      <c r="BE20" s="223">
        <f t="shared" si="10"/>
        <v>0</v>
      </c>
    </row>
    <row r="21" spans="1:57" x14ac:dyDescent="0.2">
      <c r="A21" s="563" t="s">
        <v>525</v>
      </c>
      <c r="B21" s="562"/>
      <c r="M21" s="49"/>
      <c r="N21" s="49"/>
      <c r="V21" s="1" t="s">
        <v>337</v>
      </c>
      <c r="X21">
        <f>+L29</f>
        <v>0</v>
      </c>
      <c r="AP21" s="221">
        <f t="shared" si="11"/>
        <v>0</v>
      </c>
      <c r="AQ21" s="258" t="s">
        <v>136</v>
      </c>
      <c r="AR21" s="225">
        <f t="shared" si="12"/>
        <v>0</v>
      </c>
      <c r="AS21" s="223">
        <f t="shared" si="3"/>
        <v>0</v>
      </c>
      <c r="AT21" s="82" t="e">
        <f t="shared" si="0"/>
        <v>#N/A</v>
      </c>
      <c r="AU21" s="223" t="e">
        <f t="shared" si="4"/>
        <v>#N/A</v>
      </c>
      <c r="AV21" s="218" t="e">
        <f t="shared" si="1"/>
        <v>#N/A</v>
      </c>
      <c r="AW21" s="82" t="e">
        <f t="shared" si="5"/>
        <v>#N/A</v>
      </c>
      <c r="AX21" s="82" t="e">
        <f t="shared" si="2"/>
        <v>#N/A</v>
      </c>
      <c r="AY21" s="223">
        <f t="shared" si="6"/>
        <v>0</v>
      </c>
      <c r="AZ21" s="237">
        <f t="shared" si="13"/>
        <v>0</v>
      </c>
      <c r="BA21" s="238">
        <f t="shared" si="7"/>
        <v>0</v>
      </c>
      <c r="BB21" s="228" t="str">
        <f t="shared" si="14"/>
        <v/>
      </c>
      <c r="BC21" s="296">
        <f t="shared" si="8"/>
        <v>0</v>
      </c>
      <c r="BD21" s="82">
        <f t="shared" si="9"/>
        <v>0</v>
      </c>
      <c r="BE21" s="223">
        <f t="shared" si="10"/>
        <v>0</v>
      </c>
    </row>
    <row r="22" spans="1:57" x14ac:dyDescent="0.2">
      <c r="A22" s="197">
        <v>0</v>
      </c>
      <c r="B22" s="197">
        <v>0</v>
      </c>
      <c r="C22" s="77">
        <v>0</v>
      </c>
      <c r="D22" s="117">
        <f>IF(A22=0,0,$B$7-A22)</f>
        <v>0</v>
      </c>
      <c r="E22" s="280">
        <f>IF(D22&gt;20,20,IF(B22&gt;$C$7,D22-1,D22))</f>
        <v>0</v>
      </c>
      <c r="F22" s="145"/>
      <c r="G22" s="78">
        <f>C22</f>
        <v>0</v>
      </c>
      <c r="H22" s="181">
        <f>IF(B22=0,0,VLOOKUP(A22,INPC,B22+1))</f>
        <v>0</v>
      </c>
      <c r="I22" s="116" t="e">
        <f>VLOOKUP($F$8,INPC,$G$8)</f>
        <v>#N/A</v>
      </c>
      <c r="J22" s="182">
        <f>IF(H22=0,0,ROUND(I22/H22,4))</f>
        <v>0</v>
      </c>
      <c r="K22" s="78">
        <f>ROUND(G22*J22,2)</f>
        <v>0</v>
      </c>
      <c r="M22" s="287"/>
      <c r="N22" s="288"/>
      <c r="AP22" s="221">
        <f t="shared" si="11"/>
        <v>0</v>
      </c>
      <c r="AQ22" s="258" t="s">
        <v>136</v>
      </c>
      <c r="AR22" s="225">
        <f t="shared" si="12"/>
        <v>0</v>
      </c>
      <c r="AS22" s="223">
        <f t="shared" si="3"/>
        <v>0</v>
      </c>
      <c r="AT22" s="82" t="e">
        <f t="shared" si="0"/>
        <v>#N/A</v>
      </c>
      <c r="AU22" s="223" t="e">
        <f t="shared" si="4"/>
        <v>#N/A</v>
      </c>
      <c r="AV22" s="218" t="e">
        <f t="shared" si="1"/>
        <v>#N/A</v>
      </c>
      <c r="AW22" s="82" t="e">
        <f t="shared" si="5"/>
        <v>#N/A</v>
      </c>
      <c r="AX22" s="82" t="e">
        <f t="shared" si="2"/>
        <v>#N/A</v>
      </c>
      <c r="AY22" s="223">
        <f t="shared" si="6"/>
        <v>0</v>
      </c>
      <c r="AZ22" s="237">
        <f t="shared" si="13"/>
        <v>0</v>
      </c>
      <c r="BA22" s="238">
        <f t="shared" si="7"/>
        <v>0</v>
      </c>
      <c r="BB22" s="228" t="str">
        <f t="shared" si="14"/>
        <v/>
      </c>
      <c r="BC22" s="296">
        <f t="shared" si="8"/>
        <v>0</v>
      </c>
      <c r="BD22" s="82">
        <f t="shared" si="9"/>
        <v>0</v>
      </c>
      <c r="BE22" s="223">
        <f t="shared" si="10"/>
        <v>0</v>
      </c>
    </row>
    <row r="23" spans="1:57" x14ac:dyDescent="0.2">
      <c r="A23" s="197">
        <v>0</v>
      </c>
      <c r="B23" s="197">
        <v>0</v>
      </c>
      <c r="C23" s="77">
        <v>0</v>
      </c>
      <c r="D23" s="117">
        <f>IF(A23=0,0,$B$7-A23)</f>
        <v>0</v>
      </c>
      <c r="E23" s="280">
        <f>IF(D23&gt;20,20,IF(B23&gt;$C$7,D23-1,D23))</f>
        <v>0</v>
      </c>
      <c r="F23" s="145"/>
      <c r="G23" s="78">
        <f>C23</f>
        <v>0</v>
      </c>
      <c r="H23" s="181">
        <f>IF(B23=0,0,VLOOKUP(A23,INPC,B23+1))</f>
        <v>0</v>
      </c>
      <c r="I23" s="116" t="e">
        <f>VLOOKUP($F$8,INPC,$G$8)</f>
        <v>#N/A</v>
      </c>
      <c r="J23" s="182">
        <f>IF(H23=0,0,ROUND(I23/H23,4))</f>
        <v>0</v>
      </c>
      <c r="K23" s="78">
        <f>ROUND(G23*J23,2)</f>
        <v>0</v>
      </c>
      <c r="M23" s="49"/>
      <c r="N23" s="49"/>
      <c r="V23" s="1" t="s">
        <v>341</v>
      </c>
      <c r="X23" s="41">
        <f>ROUND(X18*X21,2)</f>
        <v>0</v>
      </c>
      <c r="AP23" s="221">
        <f t="shared" si="11"/>
        <v>0</v>
      </c>
      <c r="AQ23" s="258" t="s">
        <v>136</v>
      </c>
      <c r="AR23" s="225">
        <f t="shared" si="12"/>
        <v>0</v>
      </c>
      <c r="AS23" s="223">
        <f t="shared" si="3"/>
        <v>0</v>
      </c>
      <c r="AT23" s="82" t="e">
        <f t="shared" si="0"/>
        <v>#N/A</v>
      </c>
      <c r="AU23" s="223" t="e">
        <f t="shared" si="4"/>
        <v>#N/A</v>
      </c>
      <c r="AV23" s="218" t="e">
        <f t="shared" si="1"/>
        <v>#N/A</v>
      </c>
      <c r="AW23" s="82" t="e">
        <f t="shared" si="5"/>
        <v>#N/A</v>
      </c>
      <c r="AX23" s="82" t="e">
        <f t="shared" si="2"/>
        <v>#N/A</v>
      </c>
      <c r="AY23" s="223">
        <f t="shared" si="6"/>
        <v>0</v>
      </c>
      <c r="AZ23" s="237">
        <f t="shared" si="13"/>
        <v>0</v>
      </c>
      <c r="BA23" s="238">
        <f t="shared" si="7"/>
        <v>0</v>
      </c>
      <c r="BB23" s="228" t="str">
        <f t="shared" si="14"/>
        <v/>
      </c>
      <c r="BC23" s="296">
        <f t="shared" si="8"/>
        <v>0</v>
      </c>
      <c r="BD23" s="82">
        <f t="shared" si="9"/>
        <v>0</v>
      </c>
      <c r="BE23" s="223">
        <f t="shared" si="10"/>
        <v>0</v>
      </c>
    </row>
    <row r="24" spans="1:57" x14ac:dyDescent="0.2">
      <c r="A24" s="197">
        <v>0</v>
      </c>
      <c r="B24" s="197">
        <v>0</v>
      </c>
      <c r="C24" s="77">
        <v>0</v>
      </c>
      <c r="D24" s="117">
        <f>IF(A24=0,0,$B$7-A24)</f>
        <v>0</v>
      </c>
      <c r="E24" s="280">
        <f>IF(D24&gt;20,20,IF(B24&gt;$C$7,D24-1,D24))</f>
        <v>0</v>
      </c>
      <c r="F24" s="145"/>
      <c r="G24" s="78">
        <f>C24</f>
        <v>0</v>
      </c>
      <c r="H24" s="181">
        <f>IF(B24=0,0,VLOOKUP(A24,INPC,B24+1))</f>
        <v>0</v>
      </c>
      <c r="I24" s="116" t="e">
        <f>VLOOKUP($F$8,INPC,$G$8)</f>
        <v>#N/A</v>
      </c>
      <c r="J24" s="182">
        <f>IF(H24=0,0,ROUND(I24/H24,4))</f>
        <v>0</v>
      </c>
      <c r="K24" s="78">
        <f>ROUND(G24*J24,2)</f>
        <v>0</v>
      </c>
      <c r="AP24" s="221">
        <f t="shared" si="11"/>
        <v>0</v>
      </c>
      <c r="AQ24" s="258" t="s">
        <v>136</v>
      </c>
      <c r="AR24" s="225">
        <f t="shared" si="12"/>
        <v>0</v>
      </c>
      <c r="AS24" s="223">
        <f t="shared" si="3"/>
        <v>0</v>
      </c>
      <c r="AT24" s="82" t="e">
        <f t="shared" si="0"/>
        <v>#N/A</v>
      </c>
      <c r="AU24" s="223" t="e">
        <f t="shared" si="4"/>
        <v>#N/A</v>
      </c>
      <c r="AV24" s="218" t="e">
        <f t="shared" si="1"/>
        <v>#N/A</v>
      </c>
      <c r="AW24" s="82" t="e">
        <f t="shared" si="5"/>
        <v>#N/A</v>
      </c>
      <c r="AX24" s="82" t="e">
        <f t="shared" si="2"/>
        <v>#N/A</v>
      </c>
      <c r="AY24" s="223">
        <f t="shared" si="6"/>
        <v>0</v>
      </c>
      <c r="AZ24" s="237">
        <f t="shared" si="13"/>
        <v>0</v>
      </c>
      <c r="BA24" s="238">
        <f t="shared" si="7"/>
        <v>0</v>
      </c>
      <c r="BB24" s="228" t="str">
        <f t="shared" si="14"/>
        <v/>
      </c>
      <c r="BC24" s="296">
        <f t="shared" si="8"/>
        <v>0</v>
      </c>
      <c r="BD24" s="82">
        <f t="shared" si="9"/>
        <v>0</v>
      </c>
      <c r="BE24" s="223">
        <f t="shared" si="10"/>
        <v>0</v>
      </c>
    </row>
    <row r="25" spans="1:57" x14ac:dyDescent="0.2">
      <c r="AP25" s="221">
        <f t="shared" si="11"/>
        <v>0</v>
      </c>
      <c r="AQ25" s="258" t="s">
        <v>136</v>
      </c>
      <c r="AR25" s="225">
        <f t="shared" si="12"/>
        <v>0</v>
      </c>
      <c r="AS25" s="223">
        <f t="shared" si="3"/>
        <v>0</v>
      </c>
      <c r="AT25" s="82" t="e">
        <f t="shared" si="0"/>
        <v>#N/A</v>
      </c>
      <c r="AU25" s="223" t="e">
        <f t="shared" si="4"/>
        <v>#N/A</v>
      </c>
      <c r="AV25" s="218" t="e">
        <f t="shared" si="1"/>
        <v>#N/A</v>
      </c>
      <c r="AW25" s="82" t="e">
        <f t="shared" si="5"/>
        <v>#N/A</v>
      </c>
      <c r="AX25" s="82" t="e">
        <f t="shared" si="2"/>
        <v>#N/A</v>
      </c>
      <c r="AY25" s="223">
        <f t="shared" si="6"/>
        <v>0</v>
      </c>
      <c r="AZ25" s="237">
        <f t="shared" si="13"/>
        <v>0</v>
      </c>
      <c r="BA25" s="238">
        <f t="shared" si="7"/>
        <v>0</v>
      </c>
      <c r="BB25" s="228" t="str">
        <f t="shared" si="14"/>
        <v/>
      </c>
      <c r="BC25" s="296">
        <f t="shared" si="8"/>
        <v>0</v>
      </c>
      <c r="BD25" s="82">
        <f t="shared" si="9"/>
        <v>0</v>
      </c>
      <c r="BE25" s="223">
        <f t="shared" si="10"/>
        <v>0</v>
      </c>
    </row>
    <row r="26" spans="1:57" x14ac:dyDescent="0.2">
      <c r="A26" s="561" t="s">
        <v>325</v>
      </c>
      <c r="B26" s="562"/>
      <c r="L26" s="49"/>
      <c r="V26" s="371" t="s">
        <v>351</v>
      </c>
      <c r="X26">
        <f>IF(X18=0,0,ROUND(X18/X12,4))</f>
        <v>0</v>
      </c>
      <c r="AP26" s="221">
        <f t="shared" si="11"/>
        <v>0</v>
      </c>
      <c r="AQ26" s="258" t="s">
        <v>136</v>
      </c>
      <c r="AR26" s="225">
        <f t="shared" si="12"/>
        <v>0</v>
      </c>
      <c r="AS26" s="223">
        <f t="shared" si="3"/>
        <v>0</v>
      </c>
      <c r="AT26" s="82" t="e">
        <f t="shared" si="0"/>
        <v>#N/A</v>
      </c>
      <c r="AU26" s="223" t="e">
        <f t="shared" si="4"/>
        <v>#N/A</v>
      </c>
      <c r="AV26" s="218" t="e">
        <f t="shared" si="1"/>
        <v>#N/A</v>
      </c>
      <c r="AW26" s="82" t="e">
        <f t="shared" si="5"/>
        <v>#N/A</v>
      </c>
      <c r="AX26" s="82" t="e">
        <f t="shared" si="2"/>
        <v>#N/A</v>
      </c>
      <c r="AY26" s="223">
        <f t="shared" si="6"/>
        <v>0</v>
      </c>
      <c r="AZ26" s="237">
        <f t="shared" si="13"/>
        <v>0</v>
      </c>
      <c r="BA26" s="238">
        <f t="shared" si="7"/>
        <v>0</v>
      </c>
      <c r="BB26" s="228" t="str">
        <f t="shared" si="14"/>
        <v/>
      </c>
      <c r="BC26" s="296">
        <f t="shared" si="8"/>
        <v>0</v>
      </c>
      <c r="BD26" s="82">
        <f t="shared" si="9"/>
        <v>0</v>
      </c>
      <c r="BE26" s="223">
        <f t="shared" si="10"/>
        <v>0</v>
      </c>
    </row>
    <row r="27" spans="1:57" x14ac:dyDescent="0.2">
      <c r="A27" s="301">
        <v>0</v>
      </c>
      <c r="B27" s="301">
        <v>0</v>
      </c>
      <c r="C27" s="77">
        <v>0</v>
      </c>
      <c r="D27" s="117">
        <f>IF(A27=0,0,$B$8-A27)</f>
        <v>0</v>
      </c>
      <c r="E27" s="280">
        <f>IF(D27&gt;20,20,IF(B27&gt;$C$7,D27-1,D27))</f>
        <v>0</v>
      </c>
      <c r="F27" s="145"/>
      <c r="G27" s="78">
        <f>C27</f>
        <v>0</v>
      </c>
      <c r="H27" s="181">
        <f>IF(B27=0,0,VLOOKUP(A27,INPC,B27+1))</f>
        <v>0</v>
      </c>
      <c r="I27" s="116" t="e">
        <f>VLOOKUP($F$8,INPC,$G$8)</f>
        <v>#N/A</v>
      </c>
      <c r="J27" s="182">
        <f>IF(H27=0,0,ROUND(I27/H27,4))</f>
        <v>0</v>
      </c>
      <c r="K27" s="78">
        <f>ROUND(G27*J27,2)</f>
        <v>0</v>
      </c>
      <c r="L27" s="274"/>
      <c r="AP27" s="221">
        <f t="shared" si="11"/>
        <v>0</v>
      </c>
      <c r="AQ27" s="258" t="s">
        <v>136</v>
      </c>
      <c r="AR27" s="225">
        <f t="shared" si="12"/>
        <v>0</v>
      </c>
      <c r="AS27" s="223">
        <f t="shared" si="3"/>
        <v>0</v>
      </c>
      <c r="AT27" s="82" t="e">
        <f t="shared" si="0"/>
        <v>#N/A</v>
      </c>
      <c r="AU27" s="223" t="e">
        <f t="shared" si="4"/>
        <v>#N/A</v>
      </c>
      <c r="AV27" s="218" t="e">
        <f t="shared" si="1"/>
        <v>#N/A</v>
      </c>
      <c r="AW27" s="82" t="e">
        <f t="shared" si="5"/>
        <v>#N/A</v>
      </c>
      <c r="AX27" s="82" t="e">
        <f t="shared" si="2"/>
        <v>#N/A</v>
      </c>
      <c r="AY27" s="223">
        <f t="shared" si="6"/>
        <v>0</v>
      </c>
      <c r="AZ27" s="237">
        <f t="shared" si="13"/>
        <v>0</v>
      </c>
      <c r="BA27" s="238">
        <f t="shared" si="7"/>
        <v>0</v>
      </c>
      <c r="BB27" s="228" t="str">
        <f t="shared" si="14"/>
        <v/>
      </c>
      <c r="BC27" s="296">
        <f t="shared" si="8"/>
        <v>0</v>
      </c>
      <c r="BD27" s="82">
        <f t="shared" si="9"/>
        <v>0</v>
      </c>
      <c r="BE27" s="223">
        <f t="shared" si="10"/>
        <v>0</v>
      </c>
    </row>
    <row r="28" spans="1:57" x14ac:dyDescent="0.2">
      <c r="K28" s="381">
        <f>SUM(K19:K27)</f>
        <v>0</v>
      </c>
      <c r="L28" s="49"/>
      <c r="AP28" s="221">
        <f t="shared" si="11"/>
        <v>0</v>
      </c>
      <c r="AQ28" s="258" t="s">
        <v>136</v>
      </c>
      <c r="AR28" s="225">
        <f t="shared" si="12"/>
        <v>0</v>
      </c>
      <c r="AS28" s="223">
        <f t="shared" si="3"/>
        <v>0</v>
      </c>
      <c r="AT28" s="82" t="e">
        <f t="shared" si="0"/>
        <v>#N/A</v>
      </c>
      <c r="AU28" s="223" t="e">
        <f t="shared" si="4"/>
        <v>#N/A</v>
      </c>
      <c r="AV28" s="218" t="e">
        <f t="shared" si="1"/>
        <v>#N/A</v>
      </c>
      <c r="AW28" s="82" t="e">
        <f t="shared" si="5"/>
        <v>#N/A</v>
      </c>
      <c r="AX28" s="82" t="e">
        <f t="shared" si="2"/>
        <v>#N/A</v>
      </c>
      <c r="AY28" s="223">
        <f t="shared" si="6"/>
        <v>0</v>
      </c>
      <c r="AZ28" s="237">
        <f t="shared" si="13"/>
        <v>0</v>
      </c>
      <c r="BA28" s="238">
        <f t="shared" si="7"/>
        <v>0</v>
      </c>
      <c r="BB28" s="228" t="str">
        <f t="shared" si="14"/>
        <v/>
      </c>
      <c r="BC28" s="296">
        <f t="shared" si="8"/>
        <v>0</v>
      </c>
      <c r="BD28" s="82">
        <f t="shared" si="9"/>
        <v>0</v>
      </c>
      <c r="BE28" s="223">
        <f t="shared" si="10"/>
        <v>0</v>
      </c>
    </row>
    <row r="29" spans="1:57" x14ac:dyDescent="0.2">
      <c r="J29" s="118" t="s">
        <v>327</v>
      </c>
      <c r="K29" s="104">
        <f>IF(K28&lt;(E9*0.1),E9*0.1,SUM(K18:K27))</f>
        <v>0</v>
      </c>
      <c r="L29" s="291">
        <f>+IF(E27&gt;20,20,E27)</f>
        <v>0</v>
      </c>
      <c r="AP29" s="221">
        <f t="shared" si="11"/>
        <v>0</v>
      </c>
      <c r="AQ29" s="258" t="s">
        <v>136</v>
      </c>
      <c r="AR29" s="225">
        <f t="shared" si="12"/>
        <v>0</v>
      </c>
      <c r="AS29" s="223">
        <f t="shared" si="3"/>
        <v>0</v>
      </c>
      <c r="AT29" s="82" t="e">
        <f t="shared" si="0"/>
        <v>#N/A</v>
      </c>
      <c r="AU29" s="223" t="e">
        <f t="shared" si="4"/>
        <v>#N/A</v>
      </c>
      <c r="AV29" s="218" t="e">
        <f t="shared" si="1"/>
        <v>#N/A</v>
      </c>
      <c r="AW29" s="82" t="e">
        <f t="shared" si="5"/>
        <v>#N/A</v>
      </c>
      <c r="AX29" s="82" t="e">
        <f t="shared" si="2"/>
        <v>#N/A</v>
      </c>
      <c r="AY29" s="223">
        <f t="shared" si="6"/>
        <v>0</v>
      </c>
      <c r="AZ29" s="237">
        <f t="shared" si="13"/>
        <v>0</v>
      </c>
      <c r="BA29" s="238">
        <f t="shared" si="7"/>
        <v>0</v>
      </c>
      <c r="BB29" s="228" t="str">
        <f t="shared" si="14"/>
        <v/>
      </c>
      <c r="BC29" s="296">
        <f t="shared" si="8"/>
        <v>0</v>
      </c>
      <c r="BD29" s="82">
        <f t="shared" si="9"/>
        <v>0</v>
      </c>
      <c r="BE29" s="223">
        <f t="shared" si="10"/>
        <v>0</v>
      </c>
    </row>
    <row r="30" spans="1:57" x14ac:dyDescent="0.2">
      <c r="A30" s="556" t="s">
        <v>343</v>
      </c>
      <c r="B30" s="557"/>
      <c r="C30" s="558"/>
      <c r="K30" s="394">
        <f>IF(K28&lt;E9*0.1,1,0)</f>
        <v>0</v>
      </c>
      <c r="AP30" s="221">
        <f t="shared" si="11"/>
        <v>0</v>
      </c>
      <c r="AQ30" s="258" t="s">
        <v>136</v>
      </c>
      <c r="AR30" s="225">
        <f t="shared" si="12"/>
        <v>0</v>
      </c>
      <c r="AS30" s="223">
        <f t="shared" si="3"/>
        <v>0</v>
      </c>
      <c r="AT30" s="82" t="e">
        <f t="shared" si="0"/>
        <v>#N/A</v>
      </c>
      <c r="AU30" s="223" t="e">
        <f t="shared" si="4"/>
        <v>#N/A</v>
      </c>
      <c r="AV30" s="218" t="e">
        <f t="shared" si="1"/>
        <v>#N/A</v>
      </c>
      <c r="AW30" s="82" t="e">
        <f t="shared" si="5"/>
        <v>#N/A</v>
      </c>
      <c r="AX30" s="82" t="e">
        <f t="shared" si="2"/>
        <v>#N/A</v>
      </c>
      <c r="AY30" s="223">
        <f t="shared" si="6"/>
        <v>0</v>
      </c>
      <c r="AZ30" s="237">
        <f t="shared" si="13"/>
        <v>0</v>
      </c>
      <c r="BA30" s="238">
        <f t="shared" si="7"/>
        <v>0</v>
      </c>
      <c r="BB30" s="228" t="str">
        <f t="shared" si="14"/>
        <v/>
      </c>
      <c r="BC30" s="296">
        <f t="shared" si="8"/>
        <v>0</v>
      </c>
      <c r="BD30" s="82">
        <f t="shared" si="9"/>
        <v>0</v>
      </c>
      <c r="BE30" s="223">
        <f t="shared" si="10"/>
        <v>0</v>
      </c>
    </row>
    <row r="31" spans="1:57" x14ac:dyDescent="0.2">
      <c r="AP31" s="221">
        <f t="shared" si="11"/>
        <v>0</v>
      </c>
      <c r="AQ31" s="258" t="s">
        <v>136</v>
      </c>
      <c r="AR31" s="225">
        <f t="shared" si="12"/>
        <v>0</v>
      </c>
      <c r="AS31" s="223">
        <f t="shared" si="3"/>
        <v>0</v>
      </c>
      <c r="AT31" s="82" t="e">
        <f t="shared" si="0"/>
        <v>#N/A</v>
      </c>
      <c r="AU31" s="223" t="e">
        <f t="shared" si="4"/>
        <v>#N/A</v>
      </c>
      <c r="AV31" s="218" t="e">
        <f t="shared" si="1"/>
        <v>#N/A</v>
      </c>
      <c r="AW31" s="82" t="e">
        <f t="shared" si="5"/>
        <v>#N/A</v>
      </c>
      <c r="AX31" s="82" t="e">
        <f t="shared" si="2"/>
        <v>#N/A</v>
      </c>
      <c r="AY31" s="223">
        <f t="shared" si="6"/>
        <v>0</v>
      </c>
      <c r="AZ31" s="237">
        <f t="shared" si="13"/>
        <v>0</v>
      </c>
      <c r="BA31" s="238">
        <f t="shared" si="7"/>
        <v>0</v>
      </c>
      <c r="BB31" s="228" t="str">
        <f t="shared" si="14"/>
        <v/>
      </c>
      <c r="BC31" s="296">
        <f t="shared" si="8"/>
        <v>0</v>
      </c>
      <c r="BD31" s="82">
        <f t="shared" si="9"/>
        <v>0</v>
      </c>
      <c r="BE31" s="223">
        <f t="shared" si="10"/>
        <v>0</v>
      </c>
    </row>
    <row r="32" spans="1:57" x14ac:dyDescent="0.2">
      <c r="A32" t="s">
        <v>326</v>
      </c>
      <c r="C32" s="415">
        <f>+E9</f>
        <v>0</v>
      </c>
      <c r="G32" s="27" t="str">
        <f>+IF(K30=1,BT4,"")</f>
        <v/>
      </c>
      <c r="AP32" s="221">
        <f t="shared" si="11"/>
        <v>0</v>
      </c>
      <c r="AQ32" s="258" t="s">
        <v>136</v>
      </c>
      <c r="AR32" s="225">
        <f t="shared" si="12"/>
        <v>0</v>
      </c>
      <c r="AS32" s="223">
        <f t="shared" si="3"/>
        <v>0</v>
      </c>
      <c r="AT32" s="82" t="e">
        <f t="shared" si="0"/>
        <v>#N/A</v>
      </c>
      <c r="AU32" s="223" t="e">
        <f t="shared" si="4"/>
        <v>#N/A</v>
      </c>
      <c r="AV32" s="218" t="e">
        <f t="shared" si="1"/>
        <v>#N/A</v>
      </c>
      <c r="AW32" s="82" t="e">
        <f t="shared" si="5"/>
        <v>#N/A</v>
      </c>
      <c r="AX32" s="82" t="e">
        <f t="shared" si="2"/>
        <v>#N/A</v>
      </c>
      <c r="AY32" s="223">
        <f t="shared" si="6"/>
        <v>0</v>
      </c>
      <c r="AZ32" s="237">
        <f t="shared" si="13"/>
        <v>0</v>
      </c>
      <c r="BA32" s="238">
        <f t="shared" si="7"/>
        <v>0</v>
      </c>
      <c r="BB32" s="228" t="str">
        <f t="shared" si="14"/>
        <v/>
      </c>
      <c r="BC32" s="296">
        <f t="shared" si="8"/>
        <v>0</v>
      </c>
      <c r="BD32" s="82">
        <f t="shared" si="9"/>
        <v>0</v>
      </c>
      <c r="BE32" s="223">
        <f t="shared" si="10"/>
        <v>0</v>
      </c>
    </row>
    <row r="33" spans="1:57" x14ac:dyDescent="0.2">
      <c r="A33" t="s">
        <v>328</v>
      </c>
      <c r="C33" s="416">
        <f>+K29</f>
        <v>0</v>
      </c>
      <c r="AP33" s="221">
        <f t="shared" si="11"/>
        <v>0</v>
      </c>
      <c r="AQ33" s="258" t="s">
        <v>136</v>
      </c>
      <c r="AR33" s="225">
        <f t="shared" si="12"/>
        <v>0</v>
      </c>
      <c r="AS33" s="223">
        <f t="shared" si="3"/>
        <v>0</v>
      </c>
      <c r="AT33" s="82" t="e">
        <f t="shared" si="0"/>
        <v>#N/A</v>
      </c>
      <c r="AU33" s="223" t="e">
        <f t="shared" si="4"/>
        <v>#N/A</v>
      </c>
      <c r="AV33" s="218" t="e">
        <f t="shared" si="1"/>
        <v>#N/A</v>
      </c>
      <c r="AW33" s="82" t="e">
        <f t="shared" si="5"/>
        <v>#N/A</v>
      </c>
      <c r="AX33" s="82" t="e">
        <f t="shared" si="2"/>
        <v>#N/A</v>
      </c>
      <c r="AY33" s="223">
        <f t="shared" si="6"/>
        <v>0</v>
      </c>
      <c r="AZ33" s="237">
        <f t="shared" si="13"/>
        <v>0</v>
      </c>
      <c r="BA33" s="238">
        <f t="shared" si="7"/>
        <v>0</v>
      </c>
      <c r="BB33" s="228" t="str">
        <f t="shared" si="14"/>
        <v/>
      </c>
      <c r="BC33" s="296">
        <f t="shared" si="8"/>
        <v>0</v>
      </c>
      <c r="BD33" s="82">
        <f t="shared" si="9"/>
        <v>0</v>
      </c>
      <c r="BE33" s="223">
        <f t="shared" si="10"/>
        <v>0</v>
      </c>
    </row>
    <row r="34" spans="1:57" x14ac:dyDescent="0.2">
      <c r="C34" s="421"/>
      <c r="AP34" s="221">
        <f t="shared" si="11"/>
        <v>0</v>
      </c>
      <c r="AQ34" s="258" t="s">
        <v>136</v>
      </c>
      <c r="AR34" s="225">
        <f t="shared" si="12"/>
        <v>0</v>
      </c>
      <c r="AS34" s="223">
        <f t="shared" si="3"/>
        <v>0</v>
      </c>
      <c r="AT34" s="82" t="e">
        <f t="shared" si="0"/>
        <v>#N/A</v>
      </c>
      <c r="AU34" s="223" t="e">
        <f t="shared" si="4"/>
        <v>#N/A</v>
      </c>
      <c r="AV34" s="218" t="e">
        <f t="shared" si="1"/>
        <v>#N/A</v>
      </c>
      <c r="AW34" s="82" t="e">
        <f t="shared" si="5"/>
        <v>#N/A</v>
      </c>
      <c r="AX34" s="82" t="e">
        <f t="shared" si="2"/>
        <v>#N/A</v>
      </c>
      <c r="AY34" s="223">
        <f t="shared" si="6"/>
        <v>0</v>
      </c>
      <c r="AZ34" s="237">
        <f t="shared" si="13"/>
        <v>0</v>
      </c>
      <c r="BA34" s="238">
        <f t="shared" si="7"/>
        <v>0</v>
      </c>
      <c r="BB34" s="228" t="str">
        <f t="shared" si="14"/>
        <v/>
      </c>
      <c r="BC34" s="296">
        <f t="shared" si="8"/>
        <v>0</v>
      </c>
      <c r="BD34" s="82">
        <f t="shared" si="9"/>
        <v>0</v>
      </c>
      <c r="BE34" s="223">
        <f t="shared" si="10"/>
        <v>0</v>
      </c>
    </row>
    <row r="35" spans="1:57" x14ac:dyDescent="0.2">
      <c r="B35" s="118" t="s">
        <v>329</v>
      </c>
      <c r="C35" s="419">
        <f>IF(C32&gt;C33,C32-C33,0)</f>
        <v>0</v>
      </c>
      <c r="AP35" s="221">
        <f t="shared" si="11"/>
        <v>0</v>
      </c>
      <c r="AQ35" s="258" t="s">
        <v>136</v>
      </c>
      <c r="AR35" s="225">
        <f t="shared" si="12"/>
        <v>0</v>
      </c>
      <c r="AS35" s="223">
        <f t="shared" si="3"/>
        <v>0</v>
      </c>
      <c r="AT35" s="82" t="e">
        <f t="shared" si="0"/>
        <v>#N/A</v>
      </c>
      <c r="AU35" s="223" t="e">
        <f t="shared" si="4"/>
        <v>#N/A</v>
      </c>
      <c r="AV35" s="218" t="e">
        <f t="shared" si="1"/>
        <v>#N/A</v>
      </c>
      <c r="AW35" s="82" t="e">
        <f t="shared" si="5"/>
        <v>#N/A</v>
      </c>
      <c r="AX35" s="82" t="e">
        <f t="shared" si="2"/>
        <v>#N/A</v>
      </c>
      <c r="AY35" s="223">
        <f t="shared" si="6"/>
        <v>0</v>
      </c>
      <c r="AZ35" s="237">
        <f t="shared" si="13"/>
        <v>0</v>
      </c>
      <c r="BA35" s="238">
        <f t="shared" si="7"/>
        <v>0</v>
      </c>
      <c r="BB35" s="228" t="str">
        <f t="shared" si="14"/>
        <v/>
      </c>
      <c r="BC35" s="296">
        <f t="shared" si="8"/>
        <v>0</v>
      </c>
      <c r="BD35" s="82">
        <f t="shared" si="9"/>
        <v>0</v>
      </c>
      <c r="BE35" s="223">
        <f t="shared" si="10"/>
        <v>0</v>
      </c>
    </row>
    <row r="36" spans="1:57" x14ac:dyDescent="0.2">
      <c r="B36" s="118" t="s">
        <v>334</v>
      </c>
      <c r="C36" s="419">
        <f>+IF(C33&gt;C32,C33-C32,0)</f>
        <v>0</v>
      </c>
      <c r="E36" s="292"/>
      <c r="AP36" s="221">
        <f t="shared" si="11"/>
        <v>0</v>
      </c>
      <c r="AQ36" s="258" t="s">
        <v>136</v>
      </c>
      <c r="AR36" s="225">
        <f t="shared" si="12"/>
        <v>0</v>
      </c>
      <c r="AS36" s="223">
        <f t="shared" si="3"/>
        <v>0</v>
      </c>
      <c r="AT36" s="82" t="e">
        <f t="shared" si="0"/>
        <v>#N/A</v>
      </c>
      <c r="AU36" s="223" t="e">
        <f t="shared" si="4"/>
        <v>#N/A</v>
      </c>
      <c r="AV36" s="218" t="e">
        <f t="shared" si="1"/>
        <v>#N/A</v>
      </c>
      <c r="AW36" s="82" t="e">
        <f t="shared" si="5"/>
        <v>#N/A</v>
      </c>
      <c r="AX36" s="82" t="e">
        <f t="shared" si="2"/>
        <v>#N/A</v>
      </c>
      <c r="AY36" s="223">
        <f t="shared" si="6"/>
        <v>0</v>
      </c>
      <c r="AZ36" s="237">
        <f t="shared" si="13"/>
        <v>0</v>
      </c>
      <c r="BA36" s="238">
        <f t="shared" si="7"/>
        <v>0</v>
      </c>
      <c r="BB36" s="228" t="str">
        <f t="shared" si="14"/>
        <v/>
      </c>
      <c r="BC36" s="296">
        <f t="shared" si="8"/>
        <v>0</v>
      </c>
      <c r="BD36" s="82">
        <f t="shared" si="9"/>
        <v>0</v>
      </c>
      <c r="BE36" s="223">
        <f t="shared" si="10"/>
        <v>0</v>
      </c>
    </row>
    <row r="37" spans="1:57" x14ac:dyDescent="0.2">
      <c r="AP37" s="221">
        <f t="shared" si="11"/>
        <v>0</v>
      </c>
      <c r="AQ37" s="258" t="s">
        <v>136</v>
      </c>
      <c r="AR37" s="225">
        <f t="shared" si="12"/>
        <v>0</v>
      </c>
      <c r="AS37" s="223">
        <f t="shared" si="3"/>
        <v>0</v>
      </c>
      <c r="AT37" s="82" t="e">
        <f t="shared" si="0"/>
        <v>#N/A</v>
      </c>
      <c r="AU37" s="223" t="e">
        <f t="shared" si="4"/>
        <v>#N/A</v>
      </c>
      <c r="AV37" s="218" t="e">
        <f t="shared" si="1"/>
        <v>#N/A</v>
      </c>
      <c r="AW37" s="82" t="e">
        <f t="shared" si="5"/>
        <v>#N/A</v>
      </c>
      <c r="AX37" s="82" t="e">
        <f t="shared" si="2"/>
        <v>#N/A</v>
      </c>
      <c r="AY37" s="223">
        <f t="shared" si="6"/>
        <v>0</v>
      </c>
      <c r="AZ37" s="237">
        <f t="shared" si="13"/>
        <v>0</v>
      </c>
      <c r="BA37" s="238">
        <f t="shared" si="7"/>
        <v>0</v>
      </c>
      <c r="BB37" s="228" t="str">
        <f t="shared" si="14"/>
        <v/>
      </c>
      <c r="BC37" s="296">
        <f t="shared" si="8"/>
        <v>0</v>
      </c>
      <c r="BD37" s="82">
        <f t="shared" si="9"/>
        <v>0</v>
      </c>
      <c r="BE37" s="223">
        <f t="shared" si="10"/>
        <v>0</v>
      </c>
    </row>
    <row r="38" spans="1:57" x14ac:dyDescent="0.2">
      <c r="A38" s="575" t="s">
        <v>281</v>
      </c>
      <c r="B38" s="576"/>
      <c r="C38" s="577"/>
      <c r="E38" s="304"/>
      <c r="F38" s="304"/>
      <c r="G38" s="304"/>
      <c r="AP38" s="221">
        <f t="shared" si="11"/>
        <v>0</v>
      </c>
      <c r="AQ38" s="258" t="s">
        <v>136</v>
      </c>
      <c r="AR38" s="225">
        <f t="shared" si="12"/>
        <v>0</v>
      </c>
      <c r="AS38" s="223">
        <f t="shared" si="3"/>
        <v>0</v>
      </c>
      <c r="AT38" s="82" t="e">
        <f t="shared" si="0"/>
        <v>#N/A</v>
      </c>
      <c r="AU38" s="223" t="e">
        <f t="shared" si="4"/>
        <v>#N/A</v>
      </c>
      <c r="AV38" s="218" t="e">
        <f t="shared" si="1"/>
        <v>#N/A</v>
      </c>
      <c r="AW38" s="82" t="e">
        <f t="shared" si="5"/>
        <v>#N/A</v>
      </c>
      <c r="AX38" s="82" t="e">
        <f t="shared" si="2"/>
        <v>#N/A</v>
      </c>
      <c r="AY38" s="223">
        <f t="shared" si="6"/>
        <v>0</v>
      </c>
      <c r="AZ38" s="237">
        <f t="shared" si="13"/>
        <v>0</v>
      </c>
      <c r="BA38" s="238">
        <f t="shared" si="7"/>
        <v>0</v>
      </c>
      <c r="BB38" s="228" t="str">
        <f t="shared" si="14"/>
        <v/>
      </c>
      <c r="BC38" s="296">
        <f t="shared" si="8"/>
        <v>0</v>
      </c>
      <c r="BD38" s="82">
        <f t="shared" si="9"/>
        <v>0</v>
      </c>
      <c r="BE38" s="223">
        <f t="shared" si="10"/>
        <v>0</v>
      </c>
    </row>
    <row r="39" spans="1:57" x14ac:dyDescent="0.2">
      <c r="AP39" s="221">
        <f t="shared" si="11"/>
        <v>0</v>
      </c>
      <c r="AQ39" s="258" t="s">
        <v>136</v>
      </c>
      <c r="AR39" s="225">
        <f t="shared" si="12"/>
        <v>0</v>
      </c>
      <c r="AS39" s="223">
        <f t="shared" si="3"/>
        <v>0</v>
      </c>
      <c r="AT39" s="82" t="e">
        <f t="shared" si="0"/>
        <v>#N/A</v>
      </c>
      <c r="AU39" s="223" t="e">
        <f t="shared" si="4"/>
        <v>#N/A</v>
      </c>
      <c r="AV39" s="218" t="e">
        <f t="shared" si="1"/>
        <v>#N/A</v>
      </c>
      <c r="AW39" s="82" t="e">
        <f t="shared" si="5"/>
        <v>#N/A</v>
      </c>
      <c r="AX39" s="82" t="e">
        <f t="shared" si="2"/>
        <v>#N/A</v>
      </c>
      <c r="AY39" s="223">
        <f t="shared" si="6"/>
        <v>0</v>
      </c>
      <c r="AZ39" s="237">
        <f t="shared" si="13"/>
        <v>0</v>
      </c>
      <c r="BA39" s="238">
        <f t="shared" si="7"/>
        <v>0</v>
      </c>
      <c r="BB39" s="228" t="str">
        <f t="shared" si="14"/>
        <v/>
      </c>
      <c r="BC39" s="296">
        <f t="shared" si="8"/>
        <v>0</v>
      </c>
      <c r="BD39" s="82">
        <f t="shared" si="9"/>
        <v>0</v>
      </c>
      <c r="BE39" s="223">
        <f t="shared" si="10"/>
        <v>0</v>
      </c>
    </row>
    <row r="40" spans="1:57" x14ac:dyDescent="0.2">
      <c r="A40" t="s">
        <v>330</v>
      </c>
      <c r="C40" s="78">
        <f>IF(C35=0,0,ROUND(C35/L29,2))</f>
        <v>0</v>
      </c>
      <c r="AP40" s="221">
        <f t="shared" si="11"/>
        <v>0</v>
      </c>
      <c r="AQ40" s="258" t="s">
        <v>136</v>
      </c>
      <c r="AR40" s="225">
        <f t="shared" si="12"/>
        <v>0</v>
      </c>
      <c r="AS40" s="223">
        <f t="shared" si="3"/>
        <v>0</v>
      </c>
      <c r="AT40" s="82" t="e">
        <f t="shared" si="0"/>
        <v>#N/A</v>
      </c>
      <c r="AU40" s="223" t="e">
        <f t="shared" si="4"/>
        <v>#N/A</v>
      </c>
      <c r="AV40" s="218" t="e">
        <f t="shared" si="1"/>
        <v>#N/A</v>
      </c>
      <c r="AW40" s="82" t="e">
        <f t="shared" si="5"/>
        <v>#N/A</v>
      </c>
      <c r="AX40" s="82" t="e">
        <f t="shared" si="2"/>
        <v>#N/A</v>
      </c>
      <c r="AY40" s="223">
        <f t="shared" si="6"/>
        <v>0</v>
      </c>
      <c r="AZ40" s="237">
        <f t="shared" si="13"/>
        <v>0</v>
      </c>
      <c r="BA40" s="238">
        <f t="shared" si="7"/>
        <v>0</v>
      </c>
      <c r="BB40" s="228" t="str">
        <f t="shared" si="14"/>
        <v/>
      </c>
      <c r="BC40" s="296">
        <f t="shared" si="8"/>
        <v>0</v>
      </c>
      <c r="BD40" s="82">
        <f t="shared" si="9"/>
        <v>0</v>
      </c>
      <c r="BE40" s="223">
        <f t="shared" si="10"/>
        <v>0</v>
      </c>
    </row>
    <row r="41" spans="1:57" x14ac:dyDescent="0.2">
      <c r="A41" t="s">
        <v>261</v>
      </c>
      <c r="C41" s="78">
        <f>IF(C35=0,0,C35-C40)</f>
        <v>0</v>
      </c>
      <c r="F41" s="155"/>
      <c r="AP41" s="221">
        <f t="shared" si="11"/>
        <v>0</v>
      </c>
      <c r="AQ41" s="258" t="s">
        <v>136</v>
      </c>
      <c r="AR41" s="225">
        <f t="shared" si="12"/>
        <v>0</v>
      </c>
      <c r="AS41" s="223">
        <f t="shared" si="3"/>
        <v>0</v>
      </c>
      <c r="AT41" s="82" t="e">
        <f t="shared" si="0"/>
        <v>#N/A</v>
      </c>
      <c r="AU41" s="223" t="e">
        <f t="shared" si="4"/>
        <v>#N/A</v>
      </c>
      <c r="AV41" s="218" t="e">
        <f t="shared" si="1"/>
        <v>#N/A</v>
      </c>
      <c r="AW41" s="82" t="e">
        <f t="shared" si="5"/>
        <v>#N/A</v>
      </c>
      <c r="AX41" s="82" t="e">
        <f t="shared" si="2"/>
        <v>#N/A</v>
      </c>
      <c r="AY41" s="223">
        <f t="shared" si="6"/>
        <v>0</v>
      </c>
      <c r="AZ41" s="237">
        <f t="shared" si="13"/>
        <v>0</v>
      </c>
      <c r="BA41" s="238">
        <f t="shared" si="7"/>
        <v>0</v>
      </c>
      <c r="BB41" s="228" t="str">
        <f t="shared" si="14"/>
        <v/>
      </c>
      <c r="BC41" s="296">
        <f t="shared" si="8"/>
        <v>0</v>
      </c>
      <c r="BD41" s="82">
        <f t="shared" si="9"/>
        <v>0</v>
      </c>
      <c r="BE41" s="223">
        <f t="shared" si="10"/>
        <v>0</v>
      </c>
    </row>
    <row r="42" spans="1:57" x14ac:dyDescent="0.2">
      <c r="AP42" s="221">
        <f t="shared" si="11"/>
        <v>0</v>
      </c>
      <c r="AQ42" s="258" t="s">
        <v>136</v>
      </c>
      <c r="AR42" s="225">
        <f t="shared" si="12"/>
        <v>0</v>
      </c>
      <c r="AS42" s="223">
        <f t="shared" si="3"/>
        <v>0</v>
      </c>
      <c r="AT42" s="82" t="e">
        <f t="shared" si="0"/>
        <v>#N/A</v>
      </c>
      <c r="AU42" s="223" t="e">
        <f t="shared" si="4"/>
        <v>#N/A</v>
      </c>
      <c r="AV42" s="218" t="e">
        <f t="shared" si="1"/>
        <v>#N/A</v>
      </c>
      <c r="AW42" s="82" t="e">
        <f t="shared" si="5"/>
        <v>#N/A</v>
      </c>
      <c r="AX42" s="82" t="e">
        <f t="shared" si="2"/>
        <v>#N/A</v>
      </c>
      <c r="AY42" s="223">
        <f t="shared" si="6"/>
        <v>0</v>
      </c>
      <c r="AZ42" s="237">
        <f t="shared" si="13"/>
        <v>0</v>
      </c>
      <c r="BA42" s="238">
        <f t="shared" si="7"/>
        <v>0</v>
      </c>
      <c r="BB42" s="228" t="str">
        <f t="shared" si="14"/>
        <v/>
      </c>
      <c r="BC42" s="296">
        <f t="shared" si="8"/>
        <v>0</v>
      </c>
      <c r="BD42" s="82">
        <f t="shared" si="9"/>
        <v>0</v>
      </c>
      <c r="BE42" s="223">
        <f t="shared" si="10"/>
        <v>0</v>
      </c>
    </row>
    <row r="43" spans="1:57" x14ac:dyDescent="0.2">
      <c r="B43" s="118" t="s">
        <v>335</v>
      </c>
      <c r="C43" s="78">
        <f>IF(E43=TRUE,0,X23)</f>
        <v>0</v>
      </c>
      <c r="E43" s="305" t="b">
        <v>0</v>
      </c>
      <c r="AP43" s="221">
        <f t="shared" si="11"/>
        <v>0</v>
      </c>
      <c r="AQ43" s="258" t="s">
        <v>136</v>
      </c>
      <c r="AR43" s="225">
        <f t="shared" si="12"/>
        <v>0</v>
      </c>
      <c r="AS43" s="223">
        <f t="shared" si="3"/>
        <v>0</v>
      </c>
      <c r="AT43" s="82" t="e">
        <f t="shared" si="0"/>
        <v>#N/A</v>
      </c>
      <c r="AU43" s="223" t="e">
        <f t="shared" si="4"/>
        <v>#N/A</v>
      </c>
      <c r="AV43" s="218" t="e">
        <f t="shared" si="1"/>
        <v>#N/A</v>
      </c>
      <c r="AW43" s="82" t="e">
        <f t="shared" si="5"/>
        <v>#N/A</v>
      </c>
      <c r="AX43" s="82" t="e">
        <f t="shared" si="2"/>
        <v>#N/A</v>
      </c>
      <c r="AY43" s="223">
        <f t="shared" si="6"/>
        <v>0</v>
      </c>
      <c r="AZ43" s="237">
        <f t="shared" si="13"/>
        <v>0</v>
      </c>
      <c r="BA43" s="238">
        <f t="shared" si="7"/>
        <v>0</v>
      </c>
      <c r="BB43" s="228" t="str">
        <f t="shared" si="14"/>
        <v/>
      </c>
      <c r="BC43" s="296">
        <f t="shared" si="8"/>
        <v>0</v>
      </c>
      <c r="BD43" s="82">
        <f t="shared" si="9"/>
        <v>0</v>
      </c>
      <c r="BE43" s="223">
        <f t="shared" si="10"/>
        <v>0</v>
      </c>
    </row>
    <row r="44" spans="1:57" x14ac:dyDescent="0.2">
      <c r="AP44" s="221">
        <f t="shared" si="11"/>
        <v>0</v>
      </c>
      <c r="AQ44" s="258" t="s">
        <v>136</v>
      </c>
      <c r="AR44" s="225">
        <f t="shared" si="12"/>
        <v>0</v>
      </c>
      <c r="AS44" s="223">
        <f t="shared" si="3"/>
        <v>0</v>
      </c>
      <c r="AT44" s="82" t="e">
        <f t="shared" si="0"/>
        <v>#N/A</v>
      </c>
      <c r="AU44" s="223" t="e">
        <f t="shared" si="4"/>
        <v>#N/A</v>
      </c>
      <c r="AV44" s="218" t="e">
        <f t="shared" si="1"/>
        <v>#N/A</v>
      </c>
      <c r="AW44" s="82" t="e">
        <f t="shared" si="5"/>
        <v>#N/A</v>
      </c>
      <c r="AX44" s="82" t="e">
        <f t="shared" si="2"/>
        <v>#N/A</v>
      </c>
      <c r="AY44" s="223">
        <f t="shared" si="6"/>
        <v>0</v>
      </c>
      <c r="AZ44" s="237">
        <f t="shared" si="13"/>
        <v>0</v>
      </c>
      <c r="BA44" s="238">
        <f t="shared" si="7"/>
        <v>0</v>
      </c>
      <c r="BB44" s="228" t="str">
        <f t="shared" si="14"/>
        <v/>
      </c>
      <c r="BC44" s="296">
        <f t="shared" si="8"/>
        <v>0</v>
      </c>
      <c r="BD44" s="82">
        <f t="shared" si="9"/>
        <v>0</v>
      </c>
      <c r="BE44" s="223">
        <f t="shared" si="10"/>
        <v>0</v>
      </c>
    </row>
    <row r="45" spans="1:57" x14ac:dyDescent="0.2">
      <c r="B45" s="118" t="s">
        <v>511</v>
      </c>
      <c r="AP45" s="100"/>
      <c r="AR45" s="215"/>
      <c r="AS45" s="224"/>
      <c r="AZ45" s="1"/>
      <c r="BA45" s="1"/>
    </row>
    <row r="46" spans="1:57" x14ac:dyDescent="0.2">
      <c r="B46" s="118" t="s">
        <v>510</v>
      </c>
      <c r="C46" s="78">
        <f>IF(C43=0,0,C41*X26)</f>
        <v>0</v>
      </c>
      <c r="AP46" s="100"/>
      <c r="AR46" s="215"/>
      <c r="AS46" s="224"/>
      <c r="AZ46" s="1"/>
      <c r="BA46" s="1"/>
    </row>
    <row r="47" spans="1:57" x14ac:dyDescent="0.2">
      <c r="AP47" s="100"/>
      <c r="AR47" s="215"/>
      <c r="AS47" s="224"/>
      <c r="AZ47" s="1"/>
      <c r="BA47" s="1"/>
    </row>
    <row r="48" spans="1:57" x14ac:dyDescent="0.2">
      <c r="AP48" s="100"/>
      <c r="AR48" s="215"/>
      <c r="AS48" s="224"/>
      <c r="AZ48" s="1"/>
      <c r="BA48" s="1"/>
    </row>
    <row r="49" spans="1:53" x14ac:dyDescent="0.2">
      <c r="A49" s="578" t="s">
        <v>338</v>
      </c>
      <c r="B49" s="579"/>
      <c r="C49" s="580"/>
      <c r="AP49" s="100"/>
      <c r="AR49" s="215"/>
      <c r="AS49" s="224"/>
      <c r="AZ49" s="1"/>
      <c r="BA49" s="1"/>
    </row>
    <row r="50" spans="1:53" x14ac:dyDescent="0.2">
      <c r="AP50" s="100"/>
      <c r="AR50" s="215"/>
      <c r="AS50" s="224"/>
      <c r="AZ50" s="1"/>
      <c r="BA50" s="1"/>
    </row>
    <row r="51" spans="1:53" x14ac:dyDescent="0.2">
      <c r="A51" t="s">
        <v>339</v>
      </c>
      <c r="AP51" s="100"/>
      <c r="AR51" s="215"/>
      <c r="AS51" s="224"/>
      <c r="AZ51" s="1"/>
      <c r="BA51" s="1"/>
    </row>
    <row r="52" spans="1:53" x14ac:dyDescent="0.2">
      <c r="A52" t="s">
        <v>323</v>
      </c>
      <c r="C52" s="223">
        <f>+E7</f>
        <v>0</v>
      </c>
      <c r="AP52" s="100"/>
      <c r="AR52" s="215"/>
      <c r="AS52" s="224"/>
      <c r="AZ52" s="1"/>
      <c r="BA52" s="1"/>
    </row>
    <row r="53" spans="1:53" x14ac:dyDescent="0.2">
      <c r="AP53" s="100"/>
      <c r="AR53" s="215"/>
      <c r="AS53" s="224"/>
      <c r="AZ53" s="1"/>
      <c r="BA53" s="1"/>
    </row>
    <row r="54" spans="1:53" x14ac:dyDescent="0.2">
      <c r="A54" t="s">
        <v>138</v>
      </c>
      <c r="C54" s="218">
        <v>0.16</v>
      </c>
      <c r="AP54" s="100"/>
      <c r="AR54" s="215"/>
      <c r="AS54" s="224"/>
      <c r="AZ54" s="1"/>
      <c r="BA54" s="1"/>
    </row>
    <row r="55" spans="1:53" x14ac:dyDescent="0.2">
      <c r="AP55" s="100"/>
      <c r="AR55" s="215"/>
      <c r="AS55" s="224"/>
      <c r="AZ55" s="1"/>
      <c r="BA55" s="1"/>
    </row>
    <row r="56" spans="1:53" x14ac:dyDescent="0.2">
      <c r="B56" s="118" t="s">
        <v>340</v>
      </c>
      <c r="C56" s="78">
        <f>ROUND(C52*C54,2)</f>
        <v>0</v>
      </c>
      <c r="AP56" s="100"/>
      <c r="AR56" s="215"/>
      <c r="AS56" s="224"/>
      <c r="AZ56" s="1"/>
      <c r="BA56" s="1"/>
    </row>
    <row r="57" spans="1:53" x14ac:dyDescent="0.2">
      <c r="AP57" s="100"/>
      <c r="AR57" s="215"/>
      <c r="AS57" s="224"/>
      <c r="AZ57" s="1"/>
      <c r="BA57" s="1"/>
    </row>
    <row r="58" spans="1:53" x14ac:dyDescent="0.2">
      <c r="AP58" s="100"/>
      <c r="AR58" s="215"/>
      <c r="AS58" s="224"/>
      <c r="AZ58" s="1"/>
      <c r="BA58" s="1"/>
    </row>
    <row r="59" spans="1:53" x14ac:dyDescent="0.2">
      <c r="A59" s="395"/>
      <c r="B59" s="395"/>
      <c r="C59" s="395"/>
      <c r="D59" s="395"/>
      <c r="E59" s="395"/>
      <c r="F59" s="395"/>
      <c r="G59" s="395"/>
      <c r="H59" s="395"/>
      <c r="I59" s="395"/>
      <c r="J59" s="395"/>
      <c r="K59" s="395"/>
      <c r="AP59" s="100"/>
      <c r="AR59" s="215"/>
      <c r="AS59" s="224"/>
      <c r="AZ59" s="1"/>
      <c r="BA59" s="1"/>
    </row>
    <row r="60" spans="1:53" x14ac:dyDescent="0.2">
      <c r="A60" s="395"/>
      <c r="B60" s="395"/>
      <c r="C60" s="395"/>
      <c r="D60" s="395"/>
      <c r="E60" s="395"/>
      <c r="F60" s="395"/>
      <c r="G60" s="395"/>
      <c r="H60" s="395"/>
      <c r="I60" s="395"/>
      <c r="J60" s="395"/>
      <c r="K60" s="395"/>
      <c r="AP60" s="100"/>
      <c r="AR60" s="215"/>
      <c r="AS60" s="224"/>
      <c r="AZ60" s="1"/>
      <c r="BA60" s="1"/>
    </row>
    <row r="61" spans="1:53" x14ac:dyDescent="0.2">
      <c r="A61" s="568"/>
      <c r="B61" s="568"/>
      <c r="C61" s="568"/>
      <c r="D61" s="568"/>
      <c r="E61" s="568"/>
      <c r="F61" s="395"/>
      <c r="G61" s="395"/>
      <c r="H61" s="395"/>
      <c r="I61" s="395"/>
      <c r="J61" s="395"/>
      <c r="K61" s="395"/>
      <c r="AP61" s="100"/>
      <c r="AR61" s="215"/>
      <c r="AS61" s="224"/>
      <c r="AZ61" s="1"/>
      <c r="BA61" s="1"/>
    </row>
    <row r="62" spans="1:53" x14ac:dyDescent="0.2">
      <c r="A62" s="395"/>
      <c r="B62" s="395"/>
      <c r="C62" s="395"/>
      <c r="D62" s="395"/>
      <c r="E62" s="395"/>
      <c r="F62" s="395"/>
      <c r="G62" s="395"/>
      <c r="H62" s="395"/>
      <c r="I62" s="395"/>
      <c r="J62" s="395"/>
      <c r="K62" s="395"/>
      <c r="AP62" s="100"/>
      <c r="AR62" s="215"/>
      <c r="AS62" s="224"/>
      <c r="AZ62" s="1"/>
      <c r="BA62" s="1"/>
    </row>
    <row r="63" spans="1:53" x14ac:dyDescent="0.2">
      <c r="A63" s="372"/>
      <c r="B63" s="395"/>
      <c r="C63" s="396"/>
      <c r="D63" s="395"/>
      <c r="E63" s="397"/>
      <c r="F63" s="398"/>
      <c r="G63" s="372"/>
      <c r="H63" s="395"/>
      <c r="I63" s="395"/>
      <c r="J63" s="395"/>
      <c r="K63" s="395"/>
      <c r="AP63" s="100"/>
      <c r="AR63" s="215"/>
      <c r="AS63" s="224"/>
      <c r="AZ63" s="1"/>
      <c r="BA63" s="1"/>
    </row>
    <row r="64" spans="1:53" x14ac:dyDescent="0.2">
      <c r="A64" s="372"/>
      <c r="B64" s="395"/>
      <c r="C64" s="396"/>
      <c r="D64" s="395"/>
      <c r="E64" s="397"/>
      <c r="F64" s="398"/>
      <c r="G64" s="395"/>
      <c r="H64" s="395"/>
      <c r="I64" s="395"/>
      <c r="J64" s="395"/>
      <c r="K64" s="395"/>
      <c r="AP64" s="100"/>
      <c r="AR64" s="215"/>
      <c r="AS64" s="224"/>
      <c r="AZ64" s="1"/>
      <c r="BA64" s="1"/>
    </row>
    <row r="65" spans="1:53" x14ac:dyDescent="0.2">
      <c r="A65" s="395"/>
      <c r="B65" s="395"/>
      <c r="C65" s="398"/>
      <c r="D65" s="395"/>
      <c r="E65" s="395"/>
      <c r="F65" s="395"/>
      <c r="G65" s="395"/>
      <c r="H65" s="395"/>
      <c r="I65" s="395"/>
      <c r="J65" s="395"/>
      <c r="K65" s="395"/>
      <c r="AP65" s="100"/>
      <c r="AR65" s="215"/>
      <c r="AS65" s="224"/>
      <c r="AZ65" s="1"/>
      <c r="BA65" s="1"/>
    </row>
    <row r="66" spans="1:53" x14ac:dyDescent="0.2">
      <c r="A66" s="395"/>
      <c r="B66" s="395"/>
      <c r="C66" s="372"/>
      <c r="D66" s="372"/>
      <c r="E66" s="372"/>
      <c r="F66" s="372"/>
      <c r="G66" s="372"/>
      <c r="H66" s="372"/>
      <c r="I66" s="372"/>
      <c r="J66" s="399"/>
      <c r="K66" s="395"/>
      <c r="AP66" s="100"/>
      <c r="AR66" s="215"/>
      <c r="AS66" s="224"/>
      <c r="AZ66" s="1"/>
      <c r="BA66" s="1"/>
    </row>
    <row r="67" spans="1:53" x14ac:dyDescent="0.2">
      <c r="A67" s="395"/>
      <c r="B67" s="395"/>
      <c r="C67" s="372"/>
      <c r="D67" s="372"/>
      <c r="E67" s="372"/>
      <c r="F67" s="372"/>
      <c r="G67" s="372"/>
      <c r="H67" s="372"/>
      <c r="I67" s="372"/>
      <c r="J67" s="372"/>
      <c r="K67" s="395"/>
      <c r="AP67" s="100"/>
      <c r="AR67" s="215"/>
      <c r="AS67" s="224"/>
      <c r="AZ67" s="1"/>
      <c r="BA67" s="1"/>
    </row>
    <row r="68" spans="1:53" x14ac:dyDescent="0.2">
      <c r="A68" s="395"/>
      <c r="B68" s="395"/>
      <c r="C68" s="372"/>
      <c r="D68" s="372"/>
      <c r="E68" s="372"/>
      <c r="F68" s="400"/>
      <c r="G68" s="372"/>
      <c r="H68" s="372"/>
      <c r="I68" s="372"/>
      <c r="J68" s="372"/>
      <c r="K68" s="395"/>
      <c r="AP68" s="100"/>
      <c r="AR68" s="215"/>
      <c r="AS68" s="224"/>
      <c r="AZ68" s="1"/>
      <c r="BA68" s="1"/>
    </row>
    <row r="69" spans="1:53" x14ac:dyDescent="0.2">
      <c r="A69" s="395"/>
      <c r="B69" s="395"/>
      <c r="C69" s="230"/>
      <c r="D69" s="372"/>
      <c r="E69" s="372"/>
      <c r="F69" s="230"/>
      <c r="G69" s="372"/>
      <c r="H69" s="372"/>
      <c r="I69" s="372"/>
      <c r="J69" s="372"/>
      <c r="K69" s="395"/>
    </row>
    <row r="70" spans="1:53" x14ac:dyDescent="0.2">
      <c r="A70" s="395"/>
      <c r="B70" s="395"/>
      <c r="C70" s="401"/>
      <c r="D70" s="372"/>
      <c r="E70" s="372"/>
      <c r="F70" s="401"/>
      <c r="G70" s="372"/>
      <c r="H70" s="372"/>
      <c r="I70" s="372"/>
      <c r="J70" s="372"/>
      <c r="K70" s="395"/>
    </row>
    <row r="71" spans="1:53" x14ac:dyDescent="0.2">
      <c r="A71" s="395"/>
      <c r="B71" s="395"/>
      <c r="C71" s="401"/>
      <c r="D71" s="372"/>
      <c r="E71" s="402"/>
      <c r="F71" s="403"/>
      <c r="G71" s="372"/>
      <c r="H71" s="372"/>
      <c r="I71" s="372"/>
      <c r="J71" s="372"/>
      <c r="K71" s="395"/>
    </row>
    <row r="72" spans="1:53" x14ac:dyDescent="0.2">
      <c r="A72" s="395"/>
      <c r="B72" s="395"/>
      <c r="C72" s="404"/>
      <c r="D72" s="372"/>
      <c r="E72" s="372"/>
      <c r="F72" s="403"/>
      <c r="G72" s="372"/>
      <c r="H72" s="372"/>
      <c r="I72" s="372"/>
      <c r="J72" s="372"/>
      <c r="K72" s="395"/>
    </row>
    <row r="73" spans="1:53" x14ac:dyDescent="0.2">
      <c r="A73" s="395"/>
      <c r="B73" s="395"/>
      <c r="C73" s="404"/>
      <c r="D73" s="372"/>
      <c r="E73" s="372"/>
      <c r="F73" s="403"/>
      <c r="G73" s="372"/>
      <c r="H73" s="372"/>
      <c r="I73" s="372"/>
      <c r="J73" s="372"/>
      <c r="K73" s="395"/>
    </row>
    <row r="74" spans="1:53" x14ac:dyDescent="0.2">
      <c r="A74" s="372"/>
      <c r="B74" s="395"/>
      <c r="C74" s="404"/>
      <c r="D74" s="372"/>
      <c r="E74" s="372"/>
      <c r="F74" s="403"/>
      <c r="G74" s="372"/>
      <c r="H74" s="372"/>
      <c r="I74" s="372"/>
      <c r="J74" s="372"/>
      <c r="K74" s="395"/>
    </row>
    <row r="75" spans="1:53" x14ac:dyDescent="0.2">
      <c r="A75" s="372"/>
      <c r="B75" s="395"/>
      <c r="C75" s="405"/>
      <c r="D75" s="372"/>
      <c r="E75" s="372"/>
      <c r="F75" s="403"/>
      <c r="G75" s="372"/>
      <c r="H75" s="372"/>
      <c r="I75" s="372"/>
      <c r="J75" s="372"/>
      <c r="K75" s="395"/>
    </row>
    <row r="76" spans="1:53" x14ac:dyDescent="0.2">
      <c r="A76" s="395"/>
      <c r="B76" s="395"/>
      <c r="C76" s="403"/>
      <c r="D76" s="372"/>
      <c r="E76" s="372"/>
      <c r="F76" s="403"/>
      <c r="G76" s="372"/>
      <c r="H76" s="372"/>
      <c r="I76" s="372"/>
      <c r="J76" s="372"/>
      <c r="K76" s="395"/>
    </row>
    <row r="77" spans="1:53" x14ac:dyDescent="0.2">
      <c r="A77" s="372"/>
      <c r="B77" s="395"/>
      <c r="C77" s="404"/>
      <c r="D77" s="372"/>
      <c r="E77" s="372"/>
      <c r="F77" s="404"/>
      <c r="G77" s="372"/>
      <c r="H77" s="372"/>
      <c r="I77" s="372"/>
      <c r="J77" s="372"/>
      <c r="K77" s="395"/>
    </row>
    <row r="78" spans="1:53" x14ac:dyDescent="0.2">
      <c r="A78" s="395"/>
      <c r="B78" s="395"/>
      <c r="C78" s="405"/>
      <c r="D78" s="372"/>
      <c r="E78" s="372"/>
      <c r="F78" s="405"/>
      <c r="G78" s="372"/>
      <c r="H78" s="372"/>
      <c r="I78" s="372"/>
      <c r="J78" s="372"/>
      <c r="K78" s="395"/>
    </row>
    <row r="79" spans="1:53" x14ac:dyDescent="0.2">
      <c r="A79" s="395"/>
      <c r="B79" s="395"/>
      <c r="C79" s="404"/>
      <c r="D79" s="372"/>
      <c r="E79" s="372"/>
      <c r="F79" s="404"/>
      <c r="G79" s="372"/>
      <c r="H79" s="372"/>
      <c r="I79" s="372"/>
      <c r="J79" s="372"/>
      <c r="K79" s="395"/>
    </row>
    <row r="80" spans="1:53" x14ac:dyDescent="0.2">
      <c r="A80" s="395"/>
      <c r="B80" s="395"/>
      <c r="C80" s="405"/>
      <c r="D80" s="372"/>
      <c r="E80" s="372"/>
      <c r="F80" s="405"/>
      <c r="G80" s="372"/>
      <c r="H80" s="372"/>
      <c r="I80" s="372"/>
      <c r="J80" s="372"/>
      <c r="K80" s="395"/>
    </row>
    <row r="81" spans="1:11" x14ac:dyDescent="0.2">
      <c r="A81" s="395"/>
      <c r="B81" s="395"/>
      <c r="C81" s="405"/>
      <c r="D81" s="372"/>
      <c r="E81" s="372"/>
      <c r="F81" s="405"/>
      <c r="G81" s="372"/>
      <c r="H81" s="372"/>
      <c r="I81" s="372"/>
      <c r="J81" s="372"/>
      <c r="K81" s="395"/>
    </row>
    <row r="82" spans="1:11" x14ac:dyDescent="0.2">
      <c r="A82" s="372"/>
      <c r="B82" s="395"/>
      <c r="C82" s="405"/>
      <c r="D82" s="372"/>
      <c r="E82" s="372"/>
      <c r="F82" s="405"/>
      <c r="G82" s="372"/>
      <c r="H82" s="372"/>
      <c r="I82" s="372"/>
      <c r="J82" s="372"/>
      <c r="K82" s="395"/>
    </row>
    <row r="83" spans="1:11" x14ac:dyDescent="0.2">
      <c r="A83" s="395"/>
      <c r="B83" s="395"/>
      <c r="C83" s="404"/>
      <c r="D83" s="372"/>
      <c r="E83" s="372"/>
      <c r="F83" s="404"/>
      <c r="G83" s="372"/>
      <c r="H83" s="372"/>
      <c r="I83" s="372"/>
      <c r="J83" s="372"/>
      <c r="K83" s="395"/>
    </row>
    <row r="84" spans="1:11" x14ac:dyDescent="0.2">
      <c r="A84" s="395"/>
      <c r="B84" s="395"/>
      <c r="C84" s="405"/>
      <c r="D84" s="372"/>
      <c r="E84" s="372"/>
      <c r="F84" s="405"/>
      <c r="G84" s="372"/>
      <c r="H84" s="372"/>
      <c r="I84" s="372"/>
      <c r="J84" s="372"/>
      <c r="K84" s="395"/>
    </row>
    <row r="85" spans="1:11" x14ac:dyDescent="0.2">
      <c r="A85" s="372"/>
      <c r="B85" s="395"/>
      <c r="C85" s="406"/>
      <c r="D85" s="372"/>
      <c r="E85" s="372"/>
      <c r="F85" s="399"/>
      <c r="G85" s="372"/>
      <c r="H85" s="372"/>
      <c r="I85" s="372"/>
      <c r="J85" s="372"/>
      <c r="K85" s="395"/>
    </row>
    <row r="86" spans="1:11" x14ac:dyDescent="0.2">
      <c r="A86" s="395"/>
      <c r="B86" s="395"/>
      <c r="C86" s="405"/>
      <c r="D86" s="372"/>
      <c r="E86" s="372"/>
      <c r="F86" s="405"/>
      <c r="G86" s="372"/>
      <c r="H86" s="372"/>
      <c r="I86" s="372"/>
      <c r="J86" s="372"/>
      <c r="K86" s="395"/>
    </row>
    <row r="87" spans="1:11" x14ac:dyDescent="0.2">
      <c r="A87" s="395"/>
      <c r="B87" s="395"/>
      <c r="C87" s="403"/>
      <c r="D87" s="372"/>
      <c r="E87" s="372"/>
      <c r="F87" s="403"/>
      <c r="G87" s="372"/>
      <c r="H87" s="372"/>
      <c r="I87" s="372"/>
      <c r="J87" s="372"/>
      <c r="K87" s="395"/>
    </row>
    <row r="88" spans="1:11" x14ac:dyDescent="0.2">
      <c r="A88" s="395"/>
      <c r="B88" s="395"/>
      <c r="C88" s="405"/>
      <c r="D88" s="372"/>
      <c r="E88" s="372"/>
      <c r="F88" s="372"/>
      <c r="G88" s="372"/>
      <c r="H88" s="372"/>
      <c r="I88" s="372"/>
      <c r="J88" s="372"/>
      <c r="K88" s="395"/>
    </row>
    <row r="89" spans="1:11" x14ac:dyDescent="0.2">
      <c r="A89" s="395"/>
      <c r="B89" s="395"/>
      <c r="C89" s="395"/>
      <c r="D89" s="395"/>
      <c r="E89" s="395"/>
      <c r="F89" s="395"/>
      <c r="G89" s="395"/>
      <c r="H89" s="395"/>
      <c r="I89" s="395"/>
      <c r="J89" s="395"/>
      <c r="K89" s="395"/>
    </row>
    <row r="90" spans="1:11" x14ac:dyDescent="0.2">
      <c r="A90" s="395"/>
      <c r="B90" s="395"/>
      <c r="C90" s="395"/>
      <c r="D90" s="395"/>
      <c r="E90" s="395"/>
      <c r="F90" s="395"/>
      <c r="G90" s="395"/>
      <c r="H90" s="395"/>
      <c r="I90" s="395"/>
      <c r="J90" s="395"/>
      <c r="K90" s="395"/>
    </row>
    <row r="91" spans="1:11" x14ac:dyDescent="0.2">
      <c r="A91" s="407"/>
      <c r="B91" s="395"/>
      <c r="C91" s="395"/>
      <c r="D91" s="395"/>
      <c r="E91" s="395"/>
      <c r="F91" s="395"/>
      <c r="G91" s="395"/>
      <c r="H91" s="395"/>
      <c r="I91" s="395"/>
      <c r="J91" s="395"/>
      <c r="K91" s="395"/>
    </row>
    <row r="92" spans="1:11" x14ac:dyDescent="0.2">
      <c r="A92" s="395"/>
      <c r="B92" s="395"/>
      <c r="C92" s="395"/>
      <c r="D92" s="395"/>
      <c r="E92" s="395"/>
      <c r="F92" s="395"/>
      <c r="G92" s="395"/>
      <c r="H92" s="395"/>
      <c r="I92" s="395"/>
      <c r="J92" s="395"/>
      <c r="K92" s="395"/>
    </row>
    <row r="93" spans="1:11" x14ac:dyDescent="0.2">
      <c r="A93" s="372"/>
      <c r="B93" s="395"/>
      <c r="C93" s="395"/>
      <c r="D93" s="395"/>
      <c r="E93" s="395"/>
      <c r="F93" s="395"/>
      <c r="G93" s="395"/>
      <c r="H93" s="395"/>
      <c r="I93" s="395"/>
      <c r="J93" s="395"/>
      <c r="K93" s="395"/>
    </row>
    <row r="94" spans="1:11" x14ac:dyDescent="0.2">
      <c r="A94" s="372"/>
      <c r="B94" s="395"/>
      <c r="C94" s="395"/>
      <c r="D94" s="395"/>
      <c r="E94" s="395"/>
      <c r="F94" s="395"/>
      <c r="G94" s="395"/>
      <c r="H94" s="395"/>
      <c r="I94" s="395"/>
      <c r="J94" s="395"/>
      <c r="K94" s="395"/>
    </row>
    <row r="95" spans="1:11" x14ac:dyDescent="0.2">
      <c r="A95" s="372"/>
      <c r="B95" s="395"/>
      <c r="C95" s="395"/>
      <c r="D95" s="395"/>
      <c r="E95" s="395"/>
      <c r="F95" s="395"/>
      <c r="G95" s="395"/>
      <c r="H95" s="395"/>
      <c r="I95" s="395"/>
      <c r="J95" s="395"/>
      <c r="K95" s="395"/>
    </row>
    <row r="96" spans="1:11" x14ac:dyDescent="0.2">
      <c r="A96" s="395"/>
      <c r="B96" s="395"/>
      <c r="C96" s="395"/>
      <c r="D96" s="395"/>
      <c r="E96" s="395"/>
      <c r="F96" s="395"/>
      <c r="G96" s="395"/>
      <c r="H96" s="395"/>
      <c r="I96" s="395"/>
      <c r="J96" s="395"/>
      <c r="K96" s="395"/>
    </row>
    <row r="97" spans="1:11" x14ac:dyDescent="0.2">
      <c r="A97" s="395"/>
      <c r="B97" s="395"/>
      <c r="C97" s="395"/>
      <c r="D97" s="395"/>
      <c r="E97" s="395"/>
      <c r="F97" s="395"/>
      <c r="G97" s="395"/>
      <c r="H97" s="395"/>
      <c r="I97" s="395"/>
      <c r="J97" s="395"/>
      <c r="K97" s="395"/>
    </row>
    <row r="98" spans="1:11" x14ac:dyDescent="0.2">
      <c r="A98" s="395"/>
      <c r="B98" s="395"/>
      <c r="C98" s="395"/>
      <c r="D98" s="395"/>
      <c r="E98" s="395"/>
      <c r="F98" s="395"/>
      <c r="G98" s="395"/>
      <c r="H98" s="395"/>
      <c r="I98" s="395"/>
      <c r="J98" s="395"/>
      <c r="K98" s="395"/>
    </row>
    <row r="99" spans="1:11" x14ac:dyDescent="0.2">
      <c r="A99" s="395"/>
      <c r="B99" s="395"/>
      <c r="C99" s="395"/>
      <c r="D99" s="395"/>
      <c r="E99" s="395"/>
      <c r="F99" s="395"/>
      <c r="G99" s="395"/>
      <c r="H99" s="395"/>
      <c r="I99" s="395"/>
      <c r="J99" s="395"/>
      <c r="K99" s="395"/>
    </row>
  </sheetData>
  <sheetProtection sheet="1"/>
  <mergeCells count="14">
    <mergeCell ref="A61:E61"/>
    <mergeCell ref="A4:B4"/>
    <mergeCell ref="F9:G9"/>
    <mergeCell ref="A13:B13"/>
    <mergeCell ref="A38:C38"/>
    <mergeCell ref="A49:C49"/>
    <mergeCell ref="AT5:AX5"/>
    <mergeCell ref="A30:C30"/>
    <mergeCell ref="A15:B15"/>
    <mergeCell ref="A18:B18"/>
    <mergeCell ref="A26:B26"/>
    <mergeCell ref="A21:B21"/>
    <mergeCell ref="V5:W5"/>
    <mergeCell ref="H13:I13"/>
  </mergeCells>
  <phoneticPr fontId="22" type="noConversion"/>
  <hyperlinks>
    <hyperlink ref="G2" location="'Menú Principa'!A1" display="Regresar al Menú Principal"/>
    <hyperlink ref="AS3" location="Enaj_1!A1" display="Regresa al Menú Principal"/>
    <hyperlink ref="Y8" location="Enaj_1!A53" display="Regresar"/>
  </hyperlinks>
  <pageMargins left="0.74803149606299213" right="0.74803149606299213" top="0.98425196850393704" bottom="0.98425196850393704" header="0" footer="0"/>
  <pageSetup scale="64" orientation="landscape" horizontalDpi="300" verticalDpi="300" r:id="rId1"/>
  <headerFooter alignWithMargins="0"/>
  <ignoredErrors>
    <ignoredError sqref="B8:C8" unlockedFormula="1"/>
  </ignoredErrors>
  <drawing r:id="rId2"/>
  <legacyDrawing r:id="rId3"/>
  <controls>
    <mc:AlternateContent xmlns:mc="http://schemas.openxmlformats.org/markup-compatibility/2006">
      <mc:Choice Requires="x14">
        <control shapeId="8212" r:id="rId4" name="Cálculo">
          <controlPr defaultSize="0" autoLine="0" autoPict="0" linkedCell="E43" r:id="rId5">
            <anchor moveWithCells="1">
              <from>
                <xdr:col>4</xdr:col>
                <xdr:colOff>371475</xdr:colOff>
                <xdr:row>37</xdr:row>
                <xdr:rowOff>9525</xdr:rowOff>
              </from>
              <to>
                <xdr:col>6</xdr:col>
                <xdr:colOff>800100</xdr:colOff>
                <xdr:row>38</xdr:row>
                <xdr:rowOff>57150</xdr:rowOff>
              </to>
            </anchor>
          </controlPr>
        </control>
      </mc:Choice>
      <mc:Fallback>
        <control shapeId="8212" r:id="rId4" name="Cálculo"/>
      </mc:Fallback>
    </mc:AlternateContent>
  </control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">
    <pageSetUpPr fitToPage="1"/>
  </sheetPr>
  <dimension ref="A1:BW496"/>
  <sheetViews>
    <sheetView showGridLines="0" showRowColHeaders="0" workbookViewId="0">
      <selection activeCell="H2" sqref="H2"/>
    </sheetView>
  </sheetViews>
  <sheetFormatPr baseColWidth="10" defaultColWidth="11.42578125" defaultRowHeight="12.75" x14ac:dyDescent="0.2"/>
  <cols>
    <col min="1" max="1" width="14" customWidth="1"/>
    <col min="3" max="3" width="15" customWidth="1"/>
    <col min="4" max="4" width="15.5703125" customWidth="1"/>
    <col min="5" max="5" width="14.85546875" customWidth="1"/>
    <col min="6" max="7" width="15" hidden="1" customWidth="1"/>
    <col min="8" max="8" width="14.42578125" customWidth="1"/>
    <col min="9" max="9" width="15" customWidth="1"/>
    <col min="10" max="10" width="13.85546875" hidden="1" customWidth="1"/>
    <col min="11" max="11" width="16.7109375" hidden="1" customWidth="1"/>
    <col min="12" max="12" width="14.5703125" customWidth="1"/>
    <col min="13" max="13" width="16.42578125" customWidth="1"/>
    <col min="14" max="14" width="14.42578125" bestFit="1" customWidth="1"/>
    <col min="15" max="15" width="15.85546875" customWidth="1"/>
    <col min="16" max="16" width="14.42578125" bestFit="1" customWidth="1"/>
    <col min="24" max="24" width="13.5703125" customWidth="1"/>
    <col min="25" max="25" width="17.85546875" customWidth="1"/>
    <col min="27" max="27" width="14.5703125" customWidth="1"/>
    <col min="28" max="28" width="13.85546875" customWidth="1"/>
    <col min="29" max="29" width="14.140625" customWidth="1"/>
    <col min="43" max="43" width="12.5703125" bestFit="1" customWidth="1"/>
    <col min="44" max="44" width="12.5703125" style="100" customWidth="1"/>
    <col min="45" max="45" width="22.140625" bestFit="1" customWidth="1"/>
    <col min="47" max="47" width="14" hidden="1" customWidth="1"/>
    <col min="48" max="48" width="13" hidden="1" customWidth="1"/>
    <col min="49" max="49" width="12.28515625" bestFit="1" customWidth="1"/>
    <col min="50" max="50" width="12.85546875" hidden="1" customWidth="1"/>
    <col min="51" max="51" width="12.28515625" hidden="1" customWidth="1"/>
    <col min="52" max="55" width="11.42578125" hidden="1" customWidth="1"/>
    <col min="56" max="56" width="12.28515625" bestFit="1" customWidth="1"/>
    <col min="57" max="57" width="12.28515625" customWidth="1"/>
    <col min="58" max="59" width="12.28515625" hidden="1" customWidth="1"/>
    <col min="60" max="60" width="12.7109375" customWidth="1"/>
    <col min="61" max="61" width="14.5703125" customWidth="1"/>
    <col min="62" max="62" width="13.85546875" customWidth="1"/>
  </cols>
  <sheetData>
    <row r="1" spans="1:75" ht="18" x14ac:dyDescent="0.25">
      <c r="A1" s="22" t="s">
        <v>255</v>
      </c>
      <c r="AQ1" s="22" t="s">
        <v>271</v>
      </c>
      <c r="BW1" s="27" t="s">
        <v>508</v>
      </c>
    </row>
    <row r="2" spans="1:75" x14ac:dyDescent="0.2">
      <c r="A2" s="27" t="s">
        <v>465</v>
      </c>
      <c r="H2" s="155" t="s">
        <v>246</v>
      </c>
      <c r="W2" s="27" t="s">
        <v>250</v>
      </c>
    </row>
    <row r="3" spans="1:75" x14ac:dyDescent="0.2">
      <c r="A3" s="470" t="str">
        <f>Enaj_1!A3</f>
        <v>Ejercicio Fiscal de 2010</v>
      </c>
      <c r="AC3" s="100" t="s">
        <v>357</v>
      </c>
      <c r="AS3" s="111"/>
      <c r="AT3" s="111" t="s">
        <v>142</v>
      </c>
      <c r="AU3" s="110"/>
      <c r="AV3" s="110"/>
    </row>
    <row r="4" spans="1:75" x14ac:dyDescent="0.2">
      <c r="A4" s="569" t="s">
        <v>162</v>
      </c>
      <c r="B4" s="570"/>
      <c r="D4" s="100" t="s">
        <v>182</v>
      </c>
      <c r="H4" s="155"/>
      <c r="Y4" s="100"/>
      <c r="Z4" s="100" t="s">
        <v>142</v>
      </c>
      <c r="AA4" s="100" t="s">
        <v>351</v>
      </c>
      <c r="AB4" s="100" t="s">
        <v>354</v>
      </c>
      <c r="AC4" s="193" t="s">
        <v>355</v>
      </c>
      <c r="AS4" s="113" t="s">
        <v>185</v>
      </c>
      <c r="AT4" s="113" t="s">
        <v>275</v>
      </c>
      <c r="AU4" s="110"/>
      <c r="AV4" s="110"/>
      <c r="BE4" s="155" t="s">
        <v>372</v>
      </c>
    </row>
    <row r="5" spans="1:75" x14ac:dyDescent="0.2">
      <c r="B5" s="101" t="s">
        <v>160</v>
      </c>
      <c r="C5" s="101" t="s">
        <v>161</v>
      </c>
      <c r="D5" s="101" t="s">
        <v>183</v>
      </c>
      <c r="G5" s="110"/>
      <c r="Y5" s="101" t="s">
        <v>350</v>
      </c>
      <c r="Z5" s="101" t="s">
        <v>172</v>
      </c>
      <c r="AA5" s="101" t="s">
        <v>352</v>
      </c>
      <c r="AB5" s="101" t="s">
        <v>353</v>
      </c>
      <c r="AC5" s="101" t="s">
        <v>356</v>
      </c>
      <c r="AQ5" s="184" t="s">
        <v>363</v>
      </c>
      <c r="AR5" s="226"/>
      <c r="AS5" s="120">
        <f>N47</f>
        <v>0</v>
      </c>
      <c r="AT5" s="333">
        <f>+O26</f>
        <v>0</v>
      </c>
      <c r="AU5" s="327"/>
      <c r="AV5" s="327"/>
    </row>
    <row r="6" spans="1:75" x14ac:dyDescent="0.2">
      <c r="B6" s="102" t="s">
        <v>47</v>
      </c>
      <c r="C6" s="102" t="s">
        <v>47</v>
      </c>
      <c r="D6" s="102" t="s">
        <v>47</v>
      </c>
      <c r="G6" s="102"/>
      <c r="J6" s="313"/>
      <c r="K6" s="313"/>
      <c r="L6" s="313"/>
      <c r="Y6" s="49"/>
      <c r="AQ6" s="184" t="s">
        <v>364</v>
      </c>
      <c r="AR6" s="226"/>
      <c r="AS6" s="120">
        <f>N48</f>
        <v>0</v>
      </c>
      <c r="AT6" s="333">
        <f>+M44</f>
        <v>0</v>
      </c>
      <c r="AU6" s="327"/>
      <c r="AV6" s="327"/>
      <c r="BF6" s="589" t="s">
        <v>171</v>
      </c>
      <c r="BG6" s="590"/>
    </row>
    <row r="7" spans="1:75" x14ac:dyDescent="0.2">
      <c r="A7" t="s">
        <v>180</v>
      </c>
      <c r="B7" s="197">
        <v>0</v>
      </c>
      <c r="C7" s="197">
        <v>0</v>
      </c>
      <c r="D7" s="77">
        <v>0</v>
      </c>
      <c r="F7" s="199">
        <f>IF(C7=1,B7-1,B7)</f>
        <v>0</v>
      </c>
      <c r="G7" s="199">
        <f>IF(C7=1,13,C7)</f>
        <v>0</v>
      </c>
      <c r="L7" s="219"/>
      <c r="M7" s="220"/>
      <c r="N7" s="220"/>
      <c r="O7" s="220"/>
      <c r="P7" s="220"/>
      <c r="W7" t="s">
        <v>349</v>
      </c>
      <c r="Y7" s="310">
        <f>+P26</f>
        <v>0</v>
      </c>
      <c r="Z7" s="312">
        <f>+O26</f>
        <v>0</v>
      </c>
      <c r="AA7" s="82" t="e">
        <f>ROUND(Y7*$Z$18,2)</f>
        <v>#DIV/0!</v>
      </c>
      <c r="AB7" s="82" t="e">
        <f>ROUND(Z7*AA7,2)</f>
        <v>#DIV/0!</v>
      </c>
      <c r="AQ7" s="184" t="s">
        <v>272</v>
      </c>
      <c r="AR7" s="226"/>
      <c r="AS7" s="119">
        <f>+AS5+AS6</f>
        <v>0</v>
      </c>
      <c r="AT7" s="204"/>
      <c r="AU7" s="295" t="s">
        <v>171</v>
      </c>
      <c r="AV7" s="295" t="s">
        <v>171</v>
      </c>
      <c r="AX7" s="295" t="s">
        <v>171</v>
      </c>
      <c r="AY7" s="553" t="s">
        <v>171</v>
      </c>
      <c r="AZ7" s="554"/>
      <c r="BA7" s="554"/>
      <c r="BB7" s="554"/>
      <c r="BC7" s="555"/>
      <c r="BF7" s="591" t="s">
        <v>367</v>
      </c>
      <c r="BG7" s="592"/>
      <c r="BH7" s="230"/>
    </row>
    <row r="8" spans="1:75" x14ac:dyDescent="0.2">
      <c r="A8" t="s">
        <v>184</v>
      </c>
      <c r="B8" s="487">
        <f>B7</f>
        <v>0</v>
      </c>
      <c r="C8" s="488">
        <f>C7</f>
        <v>0</v>
      </c>
      <c r="D8" s="77">
        <v>0</v>
      </c>
      <c r="F8" s="199">
        <f>IF(C8=1,B8-1,B8)</f>
        <v>0</v>
      </c>
      <c r="G8" s="199">
        <f>IF(C8=1,13,C8)</f>
        <v>0</v>
      </c>
      <c r="W8" t="s">
        <v>348</v>
      </c>
      <c r="Y8" s="311">
        <f>+N44</f>
        <v>0</v>
      </c>
      <c r="Z8" s="312">
        <f>+M44</f>
        <v>0</v>
      </c>
      <c r="AA8" s="82" t="e">
        <f>ROUND(Y8*$Z$18,2)</f>
        <v>#DIV/0!</v>
      </c>
      <c r="AB8" s="82" t="e">
        <f>ROUND(Z8*AA8,2)</f>
        <v>#DIV/0!</v>
      </c>
      <c r="AQ8" s="111" t="s">
        <v>237</v>
      </c>
      <c r="AR8" s="111" t="s">
        <v>47</v>
      </c>
      <c r="AS8" s="111"/>
      <c r="AT8" s="111" t="s">
        <v>11</v>
      </c>
      <c r="AU8" s="111" t="s">
        <v>185</v>
      </c>
      <c r="AV8" s="111" t="s">
        <v>185</v>
      </c>
      <c r="AW8" s="111" t="s">
        <v>185</v>
      </c>
      <c r="AX8" s="111" t="s">
        <v>185</v>
      </c>
      <c r="AY8" s="111" t="s">
        <v>265</v>
      </c>
      <c r="AZ8" s="111"/>
      <c r="BA8" s="111"/>
      <c r="BB8" s="111" t="s">
        <v>112</v>
      </c>
      <c r="BC8" s="111" t="s">
        <v>269</v>
      </c>
      <c r="BD8" s="231"/>
      <c r="BE8" s="111" t="s">
        <v>138</v>
      </c>
      <c r="BF8" s="112" t="s">
        <v>185</v>
      </c>
      <c r="BG8" s="112" t="s">
        <v>368</v>
      </c>
      <c r="BH8" s="297" t="s">
        <v>276</v>
      </c>
      <c r="BI8" s="297" t="s">
        <v>112</v>
      </c>
      <c r="BJ8" s="337" t="s">
        <v>279</v>
      </c>
    </row>
    <row r="9" spans="1:75" x14ac:dyDescent="0.2">
      <c r="C9" s="118" t="s">
        <v>181</v>
      </c>
      <c r="D9" s="104">
        <f>SUM(D7:D8)</f>
        <v>0</v>
      </c>
      <c r="E9" s="593" t="s">
        <v>362</v>
      </c>
      <c r="F9" s="594"/>
      <c r="G9" s="594"/>
      <c r="H9" s="595"/>
      <c r="I9" s="499"/>
      <c r="J9" s="500"/>
      <c r="K9" s="500"/>
      <c r="L9" s="500"/>
      <c r="M9" s="500"/>
      <c r="N9" s="501"/>
      <c r="O9" s="371" t="s">
        <v>47</v>
      </c>
      <c r="W9" s="1" t="s">
        <v>251</v>
      </c>
      <c r="X9" s="1"/>
      <c r="Y9" s="82">
        <f>+Y7+Y8</f>
        <v>0</v>
      </c>
      <c r="AA9" s="104" t="e">
        <f>SUM(AA7:AA8)</f>
        <v>#DIV/0!</v>
      </c>
      <c r="AB9" s="104">
        <f>IF(Y9=0,0,SUM(AB7:AB8))</f>
        <v>0</v>
      </c>
      <c r="AC9" s="78">
        <f>IF(Y9=0,0,ROUND(D49*Z18,2))</f>
        <v>0</v>
      </c>
      <c r="AQ9" s="113" t="s">
        <v>270</v>
      </c>
      <c r="AR9" s="222">
        <v>0</v>
      </c>
      <c r="AS9" s="113" t="s">
        <v>264</v>
      </c>
      <c r="AT9" s="113" t="s">
        <v>47</v>
      </c>
      <c r="AU9" s="113" t="s">
        <v>323</v>
      </c>
      <c r="AV9" s="113" t="s">
        <v>366</v>
      </c>
      <c r="AW9" s="113" t="s">
        <v>186</v>
      </c>
      <c r="AX9" s="113" t="s">
        <v>371</v>
      </c>
      <c r="AY9" s="113" t="s">
        <v>266</v>
      </c>
      <c r="AZ9" s="113" t="s">
        <v>10</v>
      </c>
      <c r="BA9" s="113" t="s">
        <v>11</v>
      </c>
      <c r="BB9" s="113" t="s">
        <v>267</v>
      </c>
      <c r="BC9" s="113" t="s">
        <v>268</v>
      </c>
      <c r="BD9" s="232" t="s">
        <v>112</v>
      </c>
      <c r="BE9" s="113" t="s">
        <v>365</v>
      </c>
      <c r="BF9" s="113" t="s">
        <v>323</v>
      </c>
      <c r="BG9" s="113" t="s">
        <v>366</v>
      </c>
      <c r="BH9" s="298" t="s">
        <v>277</v>
      </c>
      <c r="BI9" s="298" t="s">
        <v>278</v>
      </c>
      <c r="BJ9" s="338" t="s">
        <v>280</v>
      </c>
    </row>
    <row r="10" spans="1:75" x14ac:dyDescent="0.2">
      <c r="G10" s="155"/>
      <c r="W10" s="1" t="s">
        <v>9</v>
      </c>
      <c r="X10" s="1"/>
      <c r="Y10" s="216" t="e">
        <f>VLOOKUP($Y$9,Anual,1)</f>
        <v>#N/A</v>
      </c>
      <c r="AB10" s="204" t="s">
        <v>369</v>
      </c>
      <c r="AT10" s="422">
        <f>SUM(AT11:AT502)</f>
        <v>0</v>
      </c>
      <c r="AU10" s="328"/>
      <c r="AV10" s="328"/>
      <c r="BD10" s="229"/>
      <c r="BE10" s="229"/>
      <c r="BF10" s="229"/>
      <c r="BG10" s="229"/>
      <c r="BH10" s="239">
        <f>SUM(BH11:BH496)</f>
        <v>0</v>
      </c>
      <c r="BI10" s="239">
        <f>SUM(BI11:BI496)</f>
        <v>0</v>
      </c>
      <c r="BJ10" s="239">
        <f t="shared" ref="BJ10:BJ46" si="0">BH10+BI10</f>
        <v>0</v>
      </c>
    </row>
    <row r="11" spans="1:75" ht="15.75" x14ac:dyDescent="0.25">
      <c r="A11" s="573" t="s">
        <v>344</v>
      </c>
      <c r="B11" s="588"/>
      <c r="C11" s="574"/>
      <c r="F11" s="566" t="s">
        <v>171</v>
      </c>
      <c r="G11" s="567"/>
      <c r="H11" s="49"/>
      <c r="I11" s="49"/>
      <c r="J11" s="566" t="s">
        <v>171</v>
      </c>
      <c r="K11" s="567"/>
      <c r="W11" s="1" t="s">
        <v>10</v>
      </c>
      <c r="X11" s="1"/>
      <c r="Y11" s="82" t="e">
        <f>+Y9-Y10</f>
        <v>#N/A</v>
      </c>
      <c r="AB11" s="204" t="s">
        <v>370</v>
      </c>
      <c r="AR11" s="221">
        <f>IF(AR9=0,0,1)</f>
        <v>0</v>
      </c>
      <c r="AS11" s="258" t="s">
        <v>136</v>
      </c>
      <c r="AT11" s="225">
        <v>0</v>
      </c>
      <c r="AU11" s="329">
        <f>IF(AT11=0,0,ROUND($AS$5*AT11,2))</f>
        <v>0</v>
      </c>
      <c r="AV11" s="329">
        <f>IF(AT11=0,0,ROUND($AS$6*AT11,2))</f>
        <v>0</v>
      </c>
      <c r="AW11" s="418">
        <f>+AU11+AV11</f>
        <v>0</v>
      </c>
      <c r="AX11" s="223">
        <f>+ROUND($D$49*AT11,2)</f>
        <v>0</v>
      </c>
      <c r="AY11" s="82">
        <f t="shared" ref="AY11:AY46" si="1">IF(AR11=0,0,VLOOKUP($AW11,Anual,1))</f>
        <v>0</v>
      </c>
      <c r="AZ11" s="223">
        <f>AW11-AY11</f>
        <v>0</v>
      </c>
      <c r="BA11" s="218">
        <f t="shared" ref="BA11:BA46" si="2">IF(AR11=0,0,VLOOKUP($AW11,Anual,4))</f>
        <v>0</v>
      </c>
      <c r="BB11" s="82">
        <f>ROUND(AZ11*BA11,2)</f>
        <v>0</v>
      </c>
      <c r="BC11" s="82">
        <f t="shared" ref="BC11:BC46" si="3">IF(AR11=0,0,VLOOKUP($AW11,Anual,3))</f>
        <v>0</v>
      </c>
      <c r="BD11" s="223">
        <f>IF(AW11&lt;0,0,BB11+BC11)</f>
        <v>0</v>
      </c>
      <c r="BE11" s="326">
        <f>IF(AW11=0,0,ROUND(BD11/AW11,2))</f>
        <v>0</v>
      </c>
      <c r="BF11" s="223">
        <f>ROUND(AU11*BE11,2)</f>
        <v>0</v>
      </c>
      <c r="BG11" s="223">
        <f>ROUND(AV11*BE11,2)</f>
        <v>0</v>
      </c>
      <c r="BH11" s="238">
        <f>ROUND(BF11*$AT$5,2)+ROUND(BG11*$AT$6,2)</f>
        <v>0</v>
      </c>
      <c r="BI11" s="82">
        <f>ROUND(AX11*BE11,2)</f>
        <v>0</v>
      </c>
      <c r="BJ11" s="223">
        <f t="shared" si="0"/>
        <v>0</v>
      </c>
    </row>
    <row r="12" spans="1:75" x14ac:dyDescent="0.2">
      <c r="A12" s="187"/>
      <c r="B12" s="276"/>
      <c r="C12" s="584" t="s">
        <v>358</v>
      </c>
      <c r="D12" s="585"/>
      <c r="E12" s="115"/>
      <c r="F12" s="105"/>
      <c r="G12" s="105" t="s">
        <v>142</v>
      </c>
      <c r="H12" s="111" t="s">
        <v>174</v>
      </c>
      <c r="I12" s="111" t="s">
        <v>177</v>
      </c>
      <c r="J12" s="105"/>
      <c r="K12" s="105" t="s">
        <v>165</v>
      </c>
      <c r="L12" s="111"/>
      <c r="M12" s="115"/>
      <c r="N12" s="187"/>
      <c r="O12" s="111" t="s">
        <v>142</v>
      </c>
      <c r="P12" s="115"/>
      <c r="Q12" s="49"/>
      <c r="W12" s="1" t="s">
        <v>11</v>
      </c>
      <c r="X12" s="1"/>
      <c r="Y12" s="334" t="e">
        <f>VLOOKUP($Y$9,Anual,4)</f>
        <v>#N/A</v>
      </c>
      <c r="AB12" s="204" t="s">
        <v>370</v>
      </c>
      <c r="AR12" s="221">
        <f t="shared" ref="AR12:AR46" si="4">IF(AR11=0,0,IF(AR11&gt;=$AR$9,0,AR11+1))</f>
        <v>0</v>
      </c>
      <c r="AS12" s="258" t="s">
        <v>136</v>
      </c>
      <c r="AT12" s="225">
        <f>AT11</f>
        <v>0</v>
      </c>
      <c r="AU12" s="329">
        <f t="shared" ref="AU12:AU46" si="5">IF(AT12=0,0,ROUND($AS$5*AT12,2))</f>
        <v>0</v>
      </c>
      <c r="AV12" s="329">
        <f t="shared" ref="AV12:AV46" si="6">IF(AT12=0,0,ROUND($AS$6*AT12,2))</f>
        <v>0</v>
      </c>
      <c r="AW12" s="418">
        <f t="shared" ref="AW12:AW46" si="7">+AU12+AV12</f>
        <v>0</v>
      </c>
      <c r="AX12" s="223">
        <f t="shared" ref="AX12:AX46" si="8">+ROUND($D$49*AT12,2)</f>
        <v>0</v>
      </c>
      <c r="AY12" s="82">
        <f t="shared" si="1"/>
        <v>0</v>
      </c>
      <c r="AZ12" s="223">
        <f t="shared" ref="AZ12:AZ46" si="9">AW12-AY12</f>
        <v>0</v>
      </c>
      <c r="BA12" s="218">
        <f t="shared" si="2"/>
        <v>0</v>
      </c>
      <c r="BB12" s="82">
        <f t="shared" ref="BB12:BB46" si="10">ROUND(AZ12*BA12,2)</f>
        <v>0</v>
      </c>
      <c r="BC12" s="82">
        <f t="shared" si="3"/>
        <v>0</v>
      </c>
      <c r="BD12" s="223">
        <f t="shared" ref="BD12:BD46" si="11">IF(AW12&lt;0,0,BB12+BC12)</f>
        <v>0</v>
      </c>
      <c r="BE12" s="326">
        <f t="shared" ref="BE12:BE46" si="12">IF(AW12=0,0,ROUND(BD12/AW12,2))</f>
        <v>0</v>
      </c>
      <c r="BF12" s="223">
        <f t="shared" ref="BF12:BF46" si="13">ROUND(AU12*BE12,2)</f>
        <v>0</v>
      </c>
      <c r="BG12" s="223">
        <f t="shared" ref="BG12:BG46" si="14">ROUND(AV12*BE12,2)</f>
        <v>0</v>
      </c>
      <c r="BH12" s="238">
        <f t="shared" ref="BH12:BH46" si="15">ROUND(BF12*$AT$5,2)+ROUND(BG12*$AT$6,2)</f>
        <v>0</v>
      </c>
      <c r="BI12" s="82">
        <f t="shared" ref="BI12:BI46" si="16">ROUND(AX12*BE12,2)</f>
        <v>0</v>
      </c>
      <c r="BJ12" s="223">
        <f t="shared" si="0"/>
        <v>0</v>
      </c>
    </row>
    <row r="13" spans="1:75" x14ac:dyDescent="0.2">
      <c r="A13" s="278"/>
      <c r="B13" s="277"/>
      <c r="C13" s="559" t="s">
        <v>360</v>
      </c>
      <c r="D13" s="560"/>
      <c r="E13" s="121"/>
      <c r="F13" s="106" t="s">
        <v>142</v>
      </c>
      <c r="G13" s="106" t="s">
        <v>172</v>
      </c>
      <c r="H13" s="112" t="s">
        <v>175</v>
      </c>
      <c r="I13" s="112" t="s">
        <v>178</v>
      </c>
      <c r="J13" s="106" t="s">
        <v>163</v>
      </c>
      <c r="K13" s="106" t="s">
        <v>166</v>
      </c>
      <c r="L13" s="112" t="s">
        <v>168</v>
      </c>
      <c r="M13" s="112" t="s">
        <v>159</v>
      </c>
      <c r="N13" s="289" t="s">
        <v>185</v>
      </c>
      <c r="O13" s="112" t="s">
        <v>345</v>
      </c>
      <c r="P13" s="112" t="s">
        <v>185</v>
      </c>
      <c r="Q13" s="49"/>
      <c r="W13" s="1" t="s">
        <v>12</v>
      </c>
      <c r="X13" s="1"/>
      <c r="Y13" s="82" t="e">
        <f>ROUND(Y11*Y12,2)</f>
        <v>#N/A</v>
      </c>
      <c r="AB13" s="204" t="s">
        <v>276</v>
      </c>
      <c r="AR13" s="221">
        <f t="shared" si="4"/>
        <v>0</v>
      </c>
      <c r="AS13" s="258" t="s">
        <v>136</v>
      </c>
      <c r="AT13" s="225">
        <f t="shared" ref="AT13:AT46" si="17">AT12</f>
        <v>0</v>
      </c>
      <c r="AU13" s="329">
        <f t="shared" si="5"/>
        <v>0</v>
      </c>
      <c r="AV13" s="329">
        <f t="shared" si="6"/>
        <v>0</v>
      </c>
      <c r="AW13" s="418">
        <f t="shared" si="7"/>
        <v>0</v>
      </c>
      <c r="AX13" s="223">
        <f t="shared" si="8"/>
        <v>0</v>
      </c>
      <c r="AY13" s="82">
        <f t="shared" si="1"/>
        <v>0</v>
      </c>
      <c r="AZ13" s="223">
        <f t="shared" si="9"/>
        <v>0</v>
      </c>
      <c r="BA13" s="218">
        <f t="shared" si="2"/>
        <v>0</v>
      </c>
      <c r="BB13" s="82">
        <f t="shared" si="10"/>
        <v>0</v>
      </c>
      <c r="BC13" s="82">
        <f t="shared" si="3"/>
        <v>0</v>
      </c>
      <c r="BD13" s="223">
        <f t="shared" si="11"/>
        <v>0</v>
      </c>
      <c r="BE13" s="326">
        <f t="shared" si="12"/>
        <v>0</v>
      </c>
      <c r="BF13" s="223">
        <f t="shared" si="13"/>
        <v>0</v>
      </c>
      <c r="BG13" s="223">
        <f t="shared" si="14"/>
        <v>0</v>
      </c>
      <c r="BH13" s="238">
        <f t="shared" si="15"/>
        <v>0</v>
      </c>
      <c r="BI13" s="82">
        <f t="shared" si="16"/>
        <v>0</v>
      </c>
      <c r="BJ13" s="223">
        <f t="shared" si="0"/>
        <v>0</v>
      </c>
    </row>
    <row r="14" spans="1:75" x14ac:dyDescent="0.2">
      <c r="A14" s="559" t="s">
        <v>361</v>
      </c>
      <c r="B14" s="560"/>
      <c r="C14" s="113" t="s">
        <v>160</v>
      </c>
      <c r="D14" s="113" t="s">
        <v>161</v>
      </c>
      <c r="E14" s="113" t="s">
        <v>249</v>
      </c>
      <c r="F14" s="114" t="s">
        <v>172</v>
      </c>
      <c r="G14" s="114" t="s">
        <v>173</v>
      </c>
      <c r="H14" s="113" t="s">
        <v>176</v>
      </c>
      <c r="I14" s="113" t="s">
        <v>179</v>
      </c>
      <c r="J14" s="107" t="s">
        <v>164</v>
      </c>
      <c r="K14" s="107" t="s">
        <v>167</v>
      </c>
      <c r="L14" s="123" t="s">
        <v>169</v>
      </c>
      <c r="M14" s="123" t="s">
        <v>170</v>
      </c>
      <c r="N14" s="232" t="s">
        <v>187</v>
      </c>
      <c r="O14" s="113" t="s">
        <v>346</v>
      </c>
      <c r="P14" s="113" t="s">
        <v>347</v>
      </c>
      <c r="Q14" s="49"/>
      <c r="W14" s="1" t="s">
        <v>13</v>
      </c>
      <c r="X14" s="1"/>
      <c r="Y14" s="216" t="e">
        <f>VLOOKUP($Y$9,Anual,3)</f>
        <v>#N/A</v>
      </c>
      <c r="AB14" s="204" t="s">
        <v>277</v>
      </c>
      <c r="AR14" s="221">
        <f t="shared" si="4"/>
        <v>0</v>
      </c>
      <c r="AS14" s="258" t="s">
        <v>136</v>
      </c>
      <c r="AT14" s="225">
        <f t="shared" si="17"/>
        <v>0</v>
      </c>
      <c r="AU14" s="329">
        <f t="shared" si="5"/>
        <v>0</v>
      </c>
      <c r="AV14" s="329">
        <f t="shared" si="6"/>
        <v>0</v>
      </c>
      <c r="AW14" s="418">
        <f t="shared" si="7"/>
        <v>0</v>
      </c>
      <c r="AX14" s="223">
        <f t="shared" si="8"/>
        <v>0</v>
      </c>
      <c r="AY14" s="82">
        <f t="shared" si="1"/>
        <v>0</v>
      </c>
      <c r="AZ14" s="223">
        <f t="shared" si="9"/>
        <v>0</v>
      </c>
      <c r="BA14" s="218">
        <f t="shared" si="2"/>
        <v>0</v>
      </c>
      <c r="BB14" s="82">
        <f t="shared" si="10"/>
        <v>0</v>
      </c>
      <c r="BC14" s="82">
        <f t="shared" si="3"/>
        <v>0</v>
      </c>
      <c r="BD14" s="223">
        <f t="shared" si="11"/>
        <v>0</v>
      </c>
      <c r="BE14" s="326">
        <f t="shared" si="12"/>
        <v>0</v>
      </c>
      <c r="BF14" s="223">
        <f t="shared" si="13"/>
        <v>0</v>
      </c>
      <c r="BG14" s="223">
        <f t="shared" si="14"/>
        <v>0</v>
      </c>
      <c r="BH14" s="238">
        <f t="shared" si="15"/>
        <v>0</v>
      </c>
      <c r="BI14" s="82">
        <f t="shared" si="16"/>
        <v>0</v>
      </c>
      <c r="BJ14" s="223">
        <f t="shared" si="0"/>
        <v>0</v>
      </c>
    </row>
    <row r="15" spans="1:75" x14ac:dyDescent="0.2">
      <c r="A15" s="586" t="s">
        <v>47</v>
      </c>
      <c r="B15" s="586"/>
      <c r="C15" s="102" t="s">
        <v>47</v>
      </c>
      <c r="D15" s="102" t="s">
        <v>47</v>
      </c>
      <c r="E15" s="102" t="s">
        <v>47</v>
      </c>
      <c r="F15" s="102"/>
      <c r="G15" s="102"/>
      <c r="H15" s="102"/>
      <c r="I15" s="102"/>
      <c r="M15" s="49"/>
      <c r="N15" s="196"/>
      <c r="O15" s="164"/>
      <c r="P15" s="164"/>
      <c r="Q15" s="49"/>
      <c r="W15" s="1" t="s">
        <v>469</v>
      </c>
      <c r="X15" s="1"/>
      <c r="Y15" s="78">
        <f>IF(Y9=0,0,Y13+Y14)</f>
        <v>0</v>
      </c>
      <c r="AR15" s="221">
        <f t="shared" si="4"/>
        <v>0</v>
      </c>
      <c r="AS15" s="258" t="s">
        <v>136</v>
      </c>
      <c r="AT15" s="225">
        <f t="shared" si="17"/>
        <v>0</v>
      </c>
      <c r="AU15" s="329">
        <f t="shared" si="5"/>
        <v>0</v>
      </c>
      <c r="AV15" s="329">
        <f t="shared" si="6"/>
        <v>0</v>
      </c>
      <c r="AW15" s="418">
        <f t="shared" si="7"/>
        <v>0</v>
      </c>
      <c r="AX15" s="223">
        <f t="shared" si="8"/>
        <v>0</v>
      </c>
      <c r="AY15" s="82">
        <f t="shared" si="1"/>
        <v>0</v>
      </c>
      <c r="AZ15" s="223">
        <f t="shared" si="9"/>
        <v>0</v>
      </c>
      <c r="BA15" s="218">
        <f t="shared" si="2"/>
        <v>0</v>
      </c>
      <c r="BB15" s="82">
        <f t="shared" si="10"/>
        <v>0</v>
      </c>
      <c r="BC15" s="82">
        <f t="shared" si="3"/>
        <v>0</v>
      </c>
      <c r="BD15" s="223">
        <f t="shared" si="11"/>
        <v>0</v>
      </c>
      <c r="BE15" s="326">
        <f t="shared" si="12"/>
        <v>0</v>
      </c>
      <c r="BF15" s="223">
        <f t="shared" si="13"/>
        <v>0</v>
      </c>
      <c r="BG15" s="223">
        <f t="shared" si="14"/>
        <v>0</v>
      </c>
      <c r="BH15" s="238">
        <f t="shared" si="15"/>
        <v>0</v>
      </c>
      <c r="BI15" s="82">
        <f t="shared" si="16"/>
        <v>0</v>
      </c>
      <c r="BJ15" s="223">
        <f t="shared" si="0"/>
        <v>0</v>
      </c>
    </row>
    <row r="16" spans="1:75" x14ac:dyDescent="0.2">
      <c r="A16" s="332" t="s">
        <v>324</v>
      </c>
      <c r="B16" s="323"/>
      <c r="C16" s="198">
        <v>0</v>
      </c>
      <c r="D16" s="198">
        <v>0</v>
      </c>
      <c r="E16" s="77">
        <v>0</v>
      </c>
      <c r="F16" s="117">
        <f>IF(C16=0,0,$B$7-C16)</f>
        <v>0</v>
      </c>
      <c r="G16" s="117">
        <f>IF(D16&gt;$C$7,F16-1,F16)</f>
        <v>0</v>
      </c>
      <c r="H16" s="78">
        <f>IF(E16=0,0,ROUND((E16*0.03)*G16,2))</f>
        <v>0</v>
      </c>
      <c r="I16" s="78">
        <f>+IF((E16-H16)&lt;(E16*0.2),E16*0.2,E16-H16)</f>
        <v>0</v>
      </c>
      <c r="J16" s="181">
        <f t="shared" ref="J16:J25" si="18">IF(D16=0,0,VLOOKUP(C16,INPC,D16+1))</f>
        <v>0</v>
      </c>
      <c r="K16" s="116">
        <f t="shared" ref="K16:K25" si="19">IF($C$7=0,0,VLOOKUP($F$7,INPC,$G$7))</f>
        <v>0</v>
      </c>
      <c r="L16" s="182">
        <f>IF(J16=0,0,ROUND(K16/J16,4))</f>
        <v>0</v>
      </c>
      <c r="M16" s="78">
        <f>ROUND(I16*L16,2)</f>
        <v>0</v>
      </c>
      <c r="N16" s="316"/>
      <c r="O16" s="317"/>
      <c r="P16" s="318"/>
      <c r="Q16" s="49"/>
      <c r="AR16" s="221">
        <f t="shared" si="4"/>
        <v>0</v>
      </c>
      <c r="AS16" s="258" t="s">
        <v>136</v>
      </c>
      <c r="AT16" s="225">
        <f t="shared" si="17"/>
        <v>0</v>
      </c>
      <c r="AU16" s="329">
        <f t="shared" si="5"/>
        <v>0</v>
      </c>
      <c r="AV16" s="329">
        <f t="shared" si="6"/>
        <v>0</v>
      </c>
      <c r="AW16" s="418">
        <f t="shared" si="7"/>
        <v>0</v>
      </c>
      <c r="AX16" s="223">
        <f t="shared" si="8"/>
        <v>0</v>
      </c>
      <c r="AY16" s="82">
        <f t="shared" si="1"/>
        <v>0</v>
      </c>
      <c r="AZ16" s="223">
        <f t="shared" si="9"/>
        <v>0</v>
      </c>
      <c r="BA16" s="218">
        <f t="shared" si="2"/>
        <v>0</v>
      </c>
      <c r="BB16" s="82">
        <f t="shared" si="10"/>
        <v>0</v>
      </c>
      <c r="BC16" s="82">
        <f t="shared" si="3"/>
        <v>0</v>
      </c>
      <c r="BD16" s="223">
        <f t="shared" si="11"/>
        <v>0</v>
      </c>
      <c r="BE16" s="326">
        <f t="shared" si="12"/>
        <v>0</v>
      </c>
      <c r="BF16" s="223">
        <f t="shared" si="13"/>
        <v>0</v>
      </c>
      <c r="BG16" s="223">
        <f t="shared" si="14"/>
        <v>0</v>
      </c>
      <c r="BH16" s="238">
        <f t="shared" si="15"/>
        <v>0</v>
      </c>
      <c r="BI16" s="82">
        <f t="shared" si="16"/>
        <v>0</v>
      </c>
      <c r="BJ16" s="223">
        <f t="shared" si="0"/>
        <v>0</v>
      </c>
    </row>
    <row r="17" spans="1:62" x14ac:dyDescent="0.2">
      <c r="A17" s="322" t="s">
        <v>136</v>
      </c>
      <c r="B17" s="323"/>
      <c r="C17" s="198">
        <v>0</v>
      </c>
      <c r="D17" s="198">
        <v>0</v>
      </c>
      <c r="E17" s="77">
        <v>0</v>
      </c>
      <c r="F17" s="117">
        <f t="shared" ref="F17:F25" si="20">IF(C17=0,0,$B$7-C17)</f>
        <v>0</v>
      </c>
      <c r="G17" s="117">
        <f t="shared" ref="G17:G25" si="21">IF(D17&gt;$C$7,F17-1,F17)</f>
        <v>0</v>
      </c>
      <c r="H17" s="78">
        <f t="shared" ref="H17:H25" si="22">IF(E17=0,0,ROUND((E17*0.03)*G17,2))</f>
        <v>0</v>
      </c>
      <c r="I17" s="78">
        <f t="shared" ref="I17:I25" si="23">+IF((E17-H17)&lt;(E17*0.2),E17*0.2,E17-H17)</f>
        <v>0</v>
      </c>
      <c r="J17" s="181">
        <f t="shared" si="18"/>
        <v>0</v>
      </c>
      <c r="K17" s="116">
        <f t="shared" si="19"/>
        <v>0</v>
      </c>
      <c r="L17" s="182">
        <f t="shared" ref="L17:L25" si="24">IF(J17=0,0,ROUND(K17/J17,4))</f>
        <v>0</v>
      </c>
      <c r="M17" s="78">
        <f t="shared" ref="M17:M25" si="25">ROUND(I17*L17,2)</f>
        <v>0</v>
      </c>
      <c r="N17" s="316"/>
      <c r="O17" s="317"/>
      <c r="P17" s="318"/>
      <c r="Q17" s="49"/>
      <c r="AR17" s="221">
        <f t="shared" si="4"/>
        <v>0</v>
      </c>
      <c r="AS17" s="258" t="s">
        <v>136</v>
      </c>
      <c r="AT17" s="225">
        <f t="shared" si="17"/>
        <v>0</v>
      </c>
      <c r="AU17" s="329">
        <f t="shared" si="5"/>
        <v>0</v>
      </c>
      <c r="AV17" s="329">
        <f t="shared" si="6"/>
        <v>0</v>
      </c>
      <c r="AW17" s="418">
        <f t="shared" si="7"/>
        <v>0</v>
      </c>
      <c r="AX17" s="223">
        <f t="shared" si="8"/>
        <v>0</v>
      </c>
      <c r="AY17" s="82">
        <f t="shared" si="1"/>
        <v>0</v>
      </c>
      <c r="AZ17" s="223">
        <f t="shared" si="9"/>
        <v>0</v>
      </c>
      <c r="BA17" s="218">
        <f t="shared" si="2"/>
        <v>0</v>
      </c>
      <c r="BB17" s="82">
        <f t="shared" si="10"/>
        <v>0</v>
      </c>
      <c r="BC17" s="82">
        <f t="shared" si="3"/>
        <v>0</v>
      </c>
      <c r="BD17" s="223">
        <f t="shared" si="11"/>
        <v>0</v>
      </c>
      <c r="BE17" s="326">
        <f t="shared" si="12"/>
        <v>0</v>
      </c>
      <c r="BF17" s="223">
        <f t="shared" si="13"/>
        <v>0</v>
      </c>
      <c r="BG17" s="223">
        <f t="shared" si="14"/>
        <v>0</v>
      </c>
      <c r="BH17" s="238">
        <f t="shared" si="15"/>
        <v>0</v>
      </c>
      <c r="BI17" s="82">
        <f t="shared" si="16"/>
        <v>0</v>
      </c>
      <c r="BJ17" s="223">
        <f t="shared" si="0"/>
        <v>0</v>
      </c>
    </row>
    <row r="18" spans="1:62" x14ac:dyDescent="0.2">
      <c r="A18" s="322" t="s">
        <v>136</v>
      </c>
      <c r="B18" s="323"/>
      <c r="C18" s="198">
        <v>0</v>
      </c>
      <c r="D18" s="198">
        <v>0</v>
      </c>
      <c r="E18" s="77">
        <v>0</v>
      </c>
      <c r="F18" s="117">
        <f t="shared" si="20"/>
        <v>0</v>
      </c>
      <c r="G18" s="117">
        <f t="shared" si="21"/>
        <v>0</v>
      </c>
      <c r="H18" s="78">
        <f t="shared" si="22"/>
        <v>0</v>
      </c>
      <c r="I18" s="78">
        <f t="shared" si="23"/>
        <v>0</v>
      </c>
      <c r="J18" s="181">
        <f t="shared" si="18"/>
        <v>0</v>
      </c>
      <c r="K18" s="116">
        <f t="shared" si="19"/>
        <v>0</v>
      </c>
      <c r="L18" s="182">
        <f t="shared" si="24"/>
        <v>0</v>
      </c>
      <c r="M18" s="78">
        <f t="shared" si="25"/>
        <v>0</v>
      </c>
      <c r="N18" s="316"/>
      <c r="O18" s="317"/>
      <c r="P18" s="318"/>
      <c r="Q18" s="49"/>
      <c r="W18" t="s">
        <v>263</v>
      </c>
      <c r="Z18" s="218" t="e">
        <f>+Y15/Y9</f>
        <v>#DIV/0!</v>
      </c>
      <c r="AR18" s="221">
        <f t="shared" si="4"/>
        <v>0</v>
      </c>
      <c r="AS18" s="258" t="s">
        <v>136</v>
      </c>
      <c r="AT18" s="225">
        <f t="shared" si="17"/>
        <v>0</v>
      </c>
      <c r="AU18" s="329">
        <f t="shared" si="5"/>
        <v>0</v>
      </c>
      <c r="AV18" s="329">
        <f t="shared" si="6"/>
        <v>0</v>
      </c>
      <c r="AW18" s="418">
        <f t="shared" si="7"/>
        <v>0</v>
      </c>
      <c r="AX18" s="223">
        <f t="shared" si="8"/>
        <v>0</v>
      </c>
      <c r="AY18" s="82">
        <f t="shared" si="1"/>
        <v>0</v>
      </c>
      <c r="AZ18" s="223">
        <f t="shared" si="9"/>
        <v>0</v>
      </c>
      <c r="BA18" s="218">
        <f t="shared" si="2"/>
        <v>0</v>
      </c>
      <c r="BB18" s="82">
        <f t="shared" si="10"/>
        <v>0</v>
      </c>
      <c r="BC18" s="82">
        <f t="shared" si="3"/>
        <v>0</v>
      </c>
      <c r="BD18" s="223">
        <f t="shared" si="11"/>
        <v>0</v>
      </c>
      <c r="BE18" s="326">
        <f t="shared" si="12"/>
        <v>0</v>
      </c>
      <c r="BF18" s="223">
        <f t="shared" si="13"/>
        <v>0</v>
      </c>
      <c r="BG18" s="223">
        <f t="shared" si="14"/>
        <v>0</v>
      </c>
      <c r="BH18" s="238">
        <f t="shared" si="15"/>
        <v>0</v>
      </c>
      <c r="BI18" s="82">
        <f t="shared" si="16"/>
        <v>0</v>
      </c>
      <c r="BJ18" s="223">
        <f t="shared" si="0"/>
        <v>0</v>
      </c>
    </row>
    <row r="19" spans="1:62" x14ac:dyDescent="0.2">
      <c r="A19" s="322" t="s">
        <v>136</v>
      </c>
      <c r="B19" s="323"/>
      <c r="C19" s="198">
        <v>0</v>
      </c>
      <c r="D19" s="198">
        <v>0</v>
      </c>
      <c r="E19" s="77">
        <v>0</v>
      </c>
      <c r="F19" s="117">
        <f t="shared" si="20"/>
        <v>0</v>
      </c>
      <c r="G19" s="117">
        <f t="shared" si="21"/>
        <v>0</v>
      </c>
      <c r="H19" s="78">
        <f t="shared" si="22"/>
        <v>0</v>
      </c>
      <c r="I19" s="78">
        <f t="shared" si="23"/>
        <v>0</v>
      </c>
      <c r="J19" s="181">
        <f t="shared" si="18"/>
        <v>0</v>
      </c>
      <c r="K19" s="116">
        <f t="shared" si="19"/>
        <v>0</v>
      </c>
      <c r="L19" s="182">
        <f t="shared" si="24"/>
        <v>0</v>
      </c>
      <c r="M19" s="78">
        <f t="shared" si="25"/>
        <v>0</v>
      </c>
      <c r="N19" s="316"/>
      <c r="O19" s="317"/>
      <c r="P19" s="318"/>
      <c r="Q19" s="49"/>
      <c r="W19" t="s">
        <v>262</v>
      </c>
      <c r="AR19" s="221">
        <f t="shared" si="4"/>
        <v>0</v>
      </c>
      <c r="AS19" s="258" t="s">
        <v>136</v>
      </c>
      <c r="AT19" s="225">
        <f t="shared" si="17"/>
        <v>0</v>
      </c>
      <c r="AU19" s="329">
        <f t="shared" si="5"/>
        <v>0</v>
      </c>
      <c r="AV19" s="329">
        <f t="shared" si="6"/>
        <v>0</v>
      </c>
      <c r="AW19" s="418">
        <f t="shared" si="7"/>
        <v>0</v>
      </c>
      <c r="AX19" s="223">
        <f t="shared" si="8"/>
        <v>0</v>
      </c>
      <c r="AY19" s="82">
        <f t="shared" si="1"/>
        <v>0</v>
      </c>
      <c r="AZ19" s="223">
        <f t="shared" si="9"/>
        <v>0</v>
      </c>
      <c r="BA19" s="218">
        <f t="shared" si="2"/>
        <v>0</v>
      </c>
      <c r="BB19" s="82">
        <f t="shared" si="10"/>
        <v>0</v>
      </c>
      <c r="BC19" s="82">
        <f t="shared" si="3"/>
        <v>0</v>
      </c>
      <c r="BD19" s="223">
        <f t="shared" si="11"/>
        <v>0</v>
      </c>
      <c r="BE19" s="326">
        <f t="shared" si="12"/>
        <v>0</v>
      </c>
      <c r="BF19" s="223">
        <f t="shared" si="13"/>
        <v>0</v>
      </c>
      <c r="BG19" s="223">
        <f t="shared" si="14"/>
        <v>0</v>
      </c>
      <c r="BH19" s="238">
        <f t="shared" si="15"/>
        <v>0</v>
      </c>
      <c r="BI19" s="82">
        <f t="shared" si="16"/>
        <v>0</v>
      </c>
      <c r="BJ19" s="223">
        <f t="shared" si="0"/>
        <v>0</v>
      </c>
    </row>
    <row r="20" spans="1:62" x14ac:dyDescent="0.2">
      <c r="A20" s="322" t="s">
        <v>136</v>
      </c>
      <c r="B20" s="323"/>
      <c r="C20" s="198">
        <v>0</v>
      </c>
      <c r="D20" s="198">
        <v>0</v>
      </c>
      <c r="E20" s="77">
        <v>0</v>
      </c>
      <c r="F20" s="117">
        <f t="shared" si="20"/>
        <v>0</v>
      </c>
      <c r="G20" s="117">
        <f t="shared" si="21"/>
        <v>0</v>
      </c>
      <c r="H20" s="78">
        <f t="shared" si="22"/>
        <v>0</v>
      </c>
      <c r="I20" s="78">
        <f t="shared" si="23"/>
        <v>0</v>
      </c>
      <c r="J20" s="181">
        <f t="shared" si="18"/>
        <v>0</v>
      </c>
      <c r="K20" s="116">
        <f t="shared" si="19"/>
        <v>0</v>
      </c>
      <c r="L20" s="182">
        <f t="shared" si="24"/>
        <v>0</v>
      </c>
      <c r="M20" s="78">
        <f t="shared" si="25"/>
        <v>0</v>
      </c>
      <c r="N20" s="316"/>
      <c r="O20" s="317"/>
      <c r="P20" s="318"/>
      <c r="Q20" s="49"/>
      <c r="AR20" s="221">
        <f t="shared" si="4"/>
        <v>0</v>
      </c>
      <c r="AS20" s="258" t="s">
        <v>136</v>
      </c>
      <c r="AT20" s="225">
        <f t="shared" si="17"/>
        <v>0</v>
      </c>
      <c r="AU20" s="329">
        <f t="shared" si="5"/>
        <v>0</v>
      </c>
      <c r="AV20" s="329">
        <f t="shared" si="6"/>
        <v>0</v>
      </c>
      <c r="AW20" s="418">
        <f t="shared" si="7"/>
        <v>0</v>
      </c>
      <c r="AX20" s="223">
        <f t="shared" si="8"/>
        <v>0</v>
      </c>
      <c r="AY20" s="82">
        <f t="shared" si="1"/>
        <v>0</v>
      </c>
      <c r="AZ20" s="223">
        <f t="shared" si="9"/>
        <v>0</v>
      </c>
      <c r="BA20" s="218">
        <f t="shared" si="2"/>
        <v>0</v>
      </c>
      <c r="BB20" s="82">
        <f t="shared" si="10"/>
        <v>0</v>
      </c>
      <c r="BC20" s="82">
        <f t="shared" si="3"/>
        <v>0</v>
      </c>
      <c r="BD20" s="223">
        <f t="shared" si="11"/>
        <v>0</v>
      </c>
      <c r="BE20" s="326">
        <f t="shared" si="12"/>
        <v>0</v>
      </c>
      <c r="BF20" s="223">
        <f t="shared" si="13"/>
        <v>0</v>
      </c>
      <c r="BG20" s="223">
        <f t="shared" si="14"/>
        <v>0</v>
      </c>
      <c r="BH20" s="238">
        <f t="shared" si="15"/>
        <v>0</v>
      </c>
      <c r="BI20" s="82">
        <f t="shared" si="16"/>
        <v>0</v>
      </c>
      <c r="BJ20" s="223">
        <f t="shared" si="0"/>
        <v>0</v>
      </c>
    </row>
    <row r="21" spans="1:62" x14ac:dyDescent="0.2">
      <c r="A21" s="322" t="s">
        <v>136</v>
      </c>
      <c r="B21" s="323"/>
      <c r="C21" s="198">
        <v>0</v>
      </c>
      <c r="D21" s="198">
        <v>0</v>
      </c>
      <c r="E21" s="77">
        <v>0</v>
      </c>
      <c r="F21" s="117">
        <f t="shared" si="20"/>
        <v>0</v>
      </c>
      <c r="G21" s="117">
        <f t="shared" si="21"/>
        <v>0</v>
      </c>
      <c r="H21" s="78">
        <f t="shared" si="22"/>
        <v>0</v>
      </c>
      <c r="I21" s="78">
        <f t="shared" si="23"/>
        <v>0</v>
      </c>
      <c r="J21" s="181">
        <f t="shared" si="18"/>
        <v>0</v>
      </c>
      <c r="K21" s="116">
        <f t="shared" si="19"/>
        <v>0</v>
      </c>
      <c r="L21" s="182">
        <f t="shared" si="24"/>
        <v>0</v>
      </c>
      <c r="M21" s="78">
        <f t="shared" si="25"/>
        <v>0</v>
      </c>
      <c r="N21" s="316"/>
      <c r="O21" s="317"/>
      <c r="P21" s="318"/>
      <c r="Q21" s="49"/>
      <c r="AR21" s="221">
        <f t="shared" si="4"/>
        <v>0</v>
      </c>
      <c r="AS21" s="258" t="s">
        <v>136</v>
      </c>
      <c r="AT21" s="225">
        <f t="shared" si="17"/>
        <v>0</v>
      </c>
      <c r="AU21" s="329">
        <f t="shared" si="5"/>
        <v>0</v>
      </c>
      <c r="AV21" s="329">
        <f t="shared" si="6"/>
        <v>0</v>
      </c>
      <c r="AW21" s="418">
        <f t="shared" si="7"/>
        <v>0</v>
      </c>
      <c r="AX21" s="223">
        <f t="shared" si="8"/>
        <v>0</v>
      </c>
      <c r="AY21" s="82">
        <f t="shared" si="1"/>
        <v>0</v>
      </c>
      <c r="AZ21" s="223">
        <f t="shared" si="9"/>
        <v>0</v>
      </c>
      <c r="BA21" s="218">
        <f t="shared" si="2"/>
        <v>0</v>
      </c>
      <c r="BB21" s="82">
        <f t="shared" si="10"/>
        <v>0</v>
      </c>
      <c r="BC21" s="82">
        <f t="shared" si="3"/>
        <v>0</v>
      </c>
      <c r="BD21" s="223">
        <f t="shared" si="11"/>
        <v>0</v>
      </c>
      <c r="BE21" s="326">
        <f t="shared" si="12"/>
        <v>0</v>
      </c>
      <c r="BF21" s="223">
        <f t="shared" si="13"/>
        <v>0</v>
      </c>
      <c r="BG21" s="223">
        <f t="shared" si="14"/>
        <v>0</v>
      </c>
      <c r="BH21" s="238">
        <f t="shared" si="15"/>
        <v>0</v>
      </c>
      <c r="BI21" s="82">
        <f t="shared" si="16"/>
        <v>0</v>
      </c>
      <c r="BJ21" s="223">
        <f t="shared" si="0"/>
        <v>0</v>
      </c>
    </row>
    <row r="22" spans="1:62" x14ac:dyDescent="0.2">
      <c r="A22" s="322" t="s">
        <v>136</v>
      </c>
      <c r="B22" s="323"/>
      <c r="C22" s="198">
        <v>0</v>
      </c>
      <c r="D22" s="198">
        <v>0</v>
      </c>
      <c r="E22" s="77">
        <v>0</v>
      </c>
      <c r="F22" s="117">
        <f t="shared" si="20"/>
        <v>0</v>
      </c>
      <c r="G22" s="117">
        <f t="shared" si="21"/>
        <v>0</v>
      </c>
      <c r="H22" s="78">
        <f t="shared" si="22"/>
        <v>0</v>
      </c>
      <c r="I22" s="78">
        <f t="shared" si="23"/>
        <v>0</v>
      </c>
      <c r="J22" s="181">
        <f t="shared" si="18"/>
        <v>0</v>
      </c>
      <c r="K22" s="116">
        <f t="shared" si="19"/>
        <v>0</v>
      </c>
      <c r="L22" s="182">
        <f t="shared" si="24"/>
        <v>0</v>
      </c>
      <c r="M22" s="78">
        <f t="shared" si="25"/>
        <v>0</v>
      </c>
      <c r="N22" s="316"/>
      <c r="O22" s="317"/>
      <c r="P22" s="318"/>
      <c r="Q22" s="49"/>
      <c r="AR22" s="221">
        <f t="shared" si="4"/>
        <v>0</v>
      </c>
      <c r="AS22" s="258" t="s">
        <v>136</v>
      </c>
      <c r="AT22" s="225">
        <f t="shared" si="17"/>
        <v>0</v>
      </c>
      <c r="AU22" s="329">
        <f t="shared" si="5"/>
        <v>0</v>
      </c>
      <c r="AV22" s="329">
        <f t="shared" si="6"/>
        <v>0</v>
      </c>
      <c r="AW22" s="418">
        <f t="shared" si="7"/>
        <v>0</v>
      </c>
      <c r="AX22" s="223">
        <f t="shared" si="8"/>
        <v>0</v>
      </c>
      <c r="AY22" s="82">
        <f t="shared" si="1"/>
        <v>0</v>
      </c>
      <c r="AZ22" s="223">
        <f t="shared" si="9"/>
        <v>0</v>
      </c>
      <c r="BA22" s="218">
        <f t="shared" si="2"/>
        <v>0</v>
      </c>
      <c r="BB22" s="82">
        <f t="shared" si="10"/>
        <v>0</v>
      </c>
      <c r="BC22" s="82">
        <f t="shared" si="3"/>
        <v>0</v>
      </c>
      <c r="BD22" s="223">
        <f t="shared" si="11"/>
        <v>0</v>
      </c>
      <c r="BE22" s="326">
        <f t="shared" si="12"/>
        <v>0</v>
      </c>
      <c r="BF22" s="223">
        <f t="shared" si="13"/>
        <v>0</v>
      </c>
      <c r="BG22" s="223">
        <f t="shared" si="14"/>
        <v>0</v>
      </c>
      <c r="BH22" s="238">
        <f t="shared" si="15"/>
        <v>0</v>
      </c>
      <c r="BI22" s="82">
        <f t="shared" si="16"/>
        <v>0</v>
      </c>
      <c r="BJ22" s="223">
        <f t="shared" si="0"/>
        <v>0</v>
      </c>
    </row>
    <row r="23" spans="1:62" x14ac:dyDescent="0.2">
      <c r="A23" s="322" t="s">
        <v>136</v>
      </c>
      <c r="B23" s="323"/>
      <c r="C23" s="198">
        <v>0</v>
      </c>
      <c r="D23" s="198">
        <v>0</v>
      </c>
      <c r="E23" s="77">
        <v>0</v>
      </c>
      <c r="F23" s="117">
        <f t="shared" si="20"/>
        <v>0</v>
      </c>
      <c r="G23" s="117">
        <f t="shared" si="21"/>
        <v>0</v>
      </c>
      <c r="H23" s="78">
        <f t="shared" si="22"/>
        <v>0</v>
      </c>
      <c r="I23" s="78">
        <f t="shared" si="23"/>
        <v>0</v>
      </c>
      <c r="J23" s="181">
        <f t="shared" si="18"/>
        <v>0</v>
      </c>
      <c r="K23" s="116">
        <f t="shared" si="19"/>
        <v>0</v>
      </c>
      <c r="L23" s="182">
        <f t="shared" si="24"/>
        <v>0</v>
      </c>
      <c r="M23" s="78">
        <f t="shared" si="25"/>
        <v>0</v>
      </c>
      <c r="N23" s="316"/>
      <c r="O23" s="317"/>
      <c r="P23" s="318"/>
      <c r="Q23" s="49"/>
      <c r="AR23" s="221">
        <f t="shared" si="4"/>
        <v>0</v>
      </c>
      <c r="AS23" s="258" t="s">
        <v>136</v>
      </c>
      <c r="AT23" s="225">
        <f t="shared" si="17"/>
        <v>0</v>
      </c>
      <c r="AU23" s="329">
        <f t="shared" si="5"/>
        <v>0</v>
      </c>
      <c r="AV23" s="329">
        <f t="shared" si="6"/>
        <v>0</v>
      </c>
      <c r="AW23" s="418">
        <f t="shared" si="7"/>
        <v>0</v>
      </c>
      <c r="AX23" s="223">
        <f t="shared" si="8"/>
        <v>0</v>
      </c>
      <c r="AY23" s="82">
        <f t="shared" si="1"/>
        <v>0</v>
      </c>
      <c r="AZ23" s="223">
        <f t="shared" si="9"/>
        <v>0</v>
      </c>
      <c r="BA23" s="218">
        <f t="shared" si="2"/>
        <v>0</v>
      </c>
      <c r="BB23" s="82">
        <f t="shared" si="10"/>
        <v>0</v>
      </c>
      <c r="BC23" s="82">
        <f t="shared" si="3"/>
        <v>0</v>
      </c>
      <c r="BD23" s="223">
        <f t="shared" si="11"/>
        <v>0</v>
      </c>
      <c r="BE23" s="326">
        <f t="shared" si="12"/>
        <v>0</v>
      </c>
      <c r="BF23" s="223">
        <f t="shared" si="13"/>
        <v>0</v>
      </c>
      <c r="BG23" s="223">
        <f t="shared" si="14"/>
        <v>0</v>
      </c>
      <c r="BH23" s="238">
        <f t="shared" si="15"/>
        <v>0</v>
      </c>
      <c r="BI23" s="82">
        <f t="shared" si="16"/>
        <v>0</v>
      </c>
      <c r="BJ23" s="223">
        <f t="shared" si="0"/>
        <v>0</v>
      </c>
    </row>
    <row r="24" spans="1:62" x14ac:dyDescent="0.2">
      <c r="A24" s="322" t="s">
        <v>136</v>
      </c>
      <c r="B24" s="323"/>
      <c r="C24" s="198">
        <v>0</v>
      </c>
      <c r="D24" s="198">
        <v>0</v>
      </c>
      <c r="E24" s="77">
        <v>0</v>
      </c>
      <c r="F24" s="117">
        <f t="shared" si="20"/>
        <v>0</v>
      </c>
      <c r="G24" s="117">
        <f t="shared" si="21"/>
        <v>0</v>
      </c>
      <c r="H24" s="78">
        <f t="shared" si="22"/>
        <v>0</v>
      </c>
      <c r="I24" s="78">
        <f t="shared" si="23"/>
        <v>0</v>
      </c>
      <c r="J24" s="181">
        <f t="shared" si="18"/>
        <v>0</v>
      </c>
      <c r="K24" s="116">
        <f t="shared" si="19"/>
        <v>0</v>
      </c>
      <c r="L24" s="182">
        <f t="shared" si="24"/>
        <v>0</v>
      </c>
      <c r="M24" s="78">
        <f t="shared" si="25"/>
        <v>0</v>
      </c>
      <c r="N24" s="316"/>
      <c r="O24" s="331">
        <f>IF(D16&gt;C7,(B7-C16)-1,B7-C16)</f>
        <v>0</v>
      </c>
      <c r="P24" s="330"/>
      <c r="Q24" s="49"/>
      <c r="AR24" s="221">
        <f t="shared" si="4"/>
        <v>0</v>
      </c>
      <c r="AS24" s="258" t="s">
        <v>136</v>
      </c>
      <c r="AT24" s="225">
        <f t="shared" si="17"/>
        <v>0</v>
      </c>
      <c r="AU24" s="329">
        <f t="shared" si="5"/>
        <v>0</v>
      </c>
      <c r="AV24" s="329">
        <f t="shared" si="6"/>
        <v>0</v>
      </c>
      <c r="AW24" s="418">
        <f t="shared" si="7"/>
        <v>0</v>
      </c>
      <c r="AX24" s="223">
        <f t="shared" si="8"/>
        <v>0</v>
      </c>
      <c r="AY24" s="82">
        <f t="shared" si="1"/>
        <v>0</v>
      </c>
      <c r="AZ24" s="223">
        <f t="shared" si="9"/>
        <v>0</v>
      </c>
      <c r="BA24" s="218">
        <f t="shared" si="2"/>
        <v>0</v>
      </c>
      <c r="BB24" s="82">
        <f t="shared" si="10"/>
        <v>0</v>
      </c>
      <c r="BC24" s="82">
        <f t="shared" si="3"/>
        <v>0</v>
      </c>
      <c r="BD24" s="223">
        <f t="shared" si="11"/>
        <v>0</v>
      </c>
      <c r="BE24" s="326">
        <f t="shared" si="12"/>
        <v>0</v>
      </c>
      <c r="BF24" s="223">
        <f t="shared" si="13"/>
        <v>0</v>
      </c>
      <c r="BG24" s="223">
        <f t="shared" si="14"/>
        <v>0</v>
      </c>
      <c r="BH24" s="238">
        <f t="shared" si="15"/>
        <v>0</v>
      </c>
      <c r="BI24" s="82">
        <f t="shared" si="16"/>
        <v>0</v>
      </c>
      <c r="BJ24" s="223">
        <f t="shared" si="0"/>
        <v>0</v>
      </c>
    </row>
    <row r="25" spans="1:62" x14ac:dyDescent="0.2">
      <c r="A25" s="322" t="s">
        <v>136</v>
      </c>
      <c r="B25" s="323"/>
      <c r="C25" s="198">
        <v>0</v>
      </c>
      <c r="D25" s="198">
        <v>0</v>
      </c>
      <c r="E25" s="77">
        <v>0</v>
      </c>
      <c r="F25" s="117">
        <f t="shared" si="20"/>
        <v>0</v>
      </c>
      <c r="G25" s="117">
        <f t="shared" si="21"/>
        <v>0</v>
      </c>
      <c r="H25" s="78">
        <f t="shared" si="22"/>
        <v>0</v>
      </c>
      <c r="I25" s="78">
        <f t="shared" si="23"/>
        <v>0</v>
      </c>
      <c r="J25" s="181">
        <f t="shared" si="18"/>
        <v>0</v>
      </c>
      <c r="K25" s="116">
        <f t="shared" si="19"/>
        <v>0</v>
      </c>
      <c r="L25" s="182">
        <f t="shared" si="24"/>
        <v>0</v>
      </c>
      <c r="M25" s="78">
        <f t="shared" si="25"/>
        <v>0</v>
      </c>
      <c r="N25" s="315"/>
      <c r="O25" s="306"/>
      <c r="P25" s="108"/>
      <c r="Q25" s="49"/>
      <c r="AR25" s="221">
        <f t="shared" si="4"/>
        <v>0</v>
      </c>
      <c r="AS25" s="258" t="s">
        <v>136</v>
      </c>
      <c r="AT25" s="225">
        <f t="shared" si="17"/>
        <v>0</v>
      </c>
      <c r="AU25" s="329">
        <f t="shared" si="5"/>
        <v>0</v>
      </c>
      <c r="AV25" s="329">
        <f t="shared" si="6"/>
        <v>0</v>
      </c>
      <c r="AW25" s="418">
        <f t="shared" si="7"/>
        <v>0</v>
      </c>
      <c r="AX25" s="223">
        <f t="shared" si="8"/>
        <v>0</v>
      </c>
      <c r="AY25" s="82">
        <f t="shared" si="1"/>
        <v>0</v>
      </c>
      <c r="AZ25" s="223">
        <f t="shared" si="9"/>
        <v>0</v>
      </c>
      <c r="BA25" s="218">
        <f t="shared" si="2"/>
        <v>0</v>
      </c>
      <c r="BB25" s="82">
        <f t="shared" si="10"/>
        <v>0</v>
      </c>
      <c r="BC25" s="82">
        <f t="shared" si="3"/>
        <v>0</v>
      </c>
      <c r="BD25" s="223">
        <f t="shared" si="11"/>
        <v>0</v>
      </c>
      <c r="BE25" s="326">
        <f t="shared" si="12"/>
        <v>0</v>
      </c>
      <c r="BF25" s="223">
        <f t="shared" si="13"/>
        <v>0</v>
      </c>
      <c r="BG25" s="223">
        <f t="shared" si="14"/>
        <v>0</v>
      </c>
      <c r="BH25" s="238">
        <f t="shared" si="15"/>
        <v>0</v>
      </c>
      <c r="BI25" s="82">
        <f t="shared" si="16"/>
        <v>0</v>
      </c>
      <c r="BJ25" s="223">
        <f t="shared" si="0"/>
        <v>0</v>
      </c>
    </row>
    <row r="26" spans="1:62" ht="15.75" customHeight="1" x14ac:dyDescent="0.2">
      <c r="E26" s="104">
        <f>SUM(E16:E25)</f>
        <v>0</v>
      </c>
      <c r="F26" s="109"/>
      <c r="G26" s="109"/>
      <c r="H26" s="108">
        <f>SUM(H16:H25)</f>
        <v>0</v>
      </c>
      <c r="I26" s="108">
        <f>SUM(I16:I25)</f>
        <v>0</v>
      </c>
      <c r="M26" s="108">
        <f>SUM(M16:M25)</f>
        <v>0</v>
      </c>
      <c r="N26" s="308">
        <f>D7-M26</f>
        <v>0</v>
      </c>
      <c r="O26" s="183">
        <f>+IF(O24&gt;20,20,O24)</f>
        <v>0</v>
      </c>
      <c r="P26" s="120">
        <f>IF(N26=0,0,ROUND(N26/O26,2))</f>
        <v>0</v>
      </c>
      <c r="Q26" s="307"/>
      <c r="AR26" s="221">
        <f t="shared" si="4"/>
        <v>0</v>
      </c>
      <c r="AS26" s="258" t="s">
        <v>136</v>
      </c>
      <c r="AT26" s="225">
        <f t="shared" si="17"/>
        <v>0</v>
      </c>
      <c r="AU26" s="329">
        <f t="shared" si="5"/>
        <v>0</v>
      </c>
      <c r="AV26" s="329">
        <f t="shared" si="6"/>
        <v>0</v>
      </c>
      <c r="AW26" s="418">
        <f t="shared" si="7"/>
        <v>0</v>
      </c>
      <c r="AX26" s="223">
        <f t="shared" si="8"/>
        <v>0</v>
      </c>
      <c r="AY26" s="82">
        <f t="shared" si="1"/>
        <v>0</v>
      </c>
      <c r="AZ26" s="223">
        <f t="shared" si="9"/>
        <v>0</v>
      </c>
      <c r="BA26" s="218">
        <f t="shared" si="2"/>
        <v>0</v>
      </c>
      <c r="BB26" s="82">
        <f t="shared" si="10"/>
        <v>0</v>
      </c>
      <c r="BC26" s="82">
        <f t="shared" si="3"/>
        <v>0</v>
      </c>
      <c r="BD26" s="223">
        <f t="shared" si="11"/>
        <v>0</v>
      </c>
      <c r="BE26" s="326">
        <f t="shared" si="12"/>
        <v>0</v>
      </c>
      <c r="BF26" s="223">
        <f t="shared" si="13"/>
        <v>0</v>
      </c>
      <c r="BG26" s="223">
        <f t="shared" si="14"/>
        <v>0</v>
      </c>
      <c r="BH26" s="238">
        <f t="shared" si="15"/>
        <v>0</v>
      </c>
      <c r="BI26" s="82">
        <f t="shared" si="16"/>
        <v>0</v>
      </c>
      <c r="BJ26" s="223">
        <f t="shared" si="0"/>
        <v>0</v>
      </c>
    </row>
    <row r="27" spans="1:62" x14ac:dyDescent="0.2">
      <c r="A27" s="266"/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354"/>
      <c r="O27" s="49"/>
      <c r="P27" s="49"/>
      <c r="Q27" s="49"/>
      <c r="AR27" s="221">
        <f t="shared" si="4"/>
        <v>0</v>
      </c>
      <c r="AS27" s="258" t="s">
        <v>136</v>
      </c>
      <c r="AT27" s="225">
        <f t="shared" si="17"/>
        <v>0</v>
      </c>
      <c r="AU27" s="329">
        <f t="shared" si="5"/>
        <v>0</v>
      </c>
      <c r="AV27" s="329">
        <f t="shared" si="6"/>
        <v>0</v>
      </c>
      <c r="AW27" s="418">
        <f t="shared" si="7"/>
        <v>0</v>
      </c>
      <c r="AX27" s="223">
        <f t="shared" si="8"/>
        <v>0</v>
      </c>
      <c r="AY27" s="82">
        <f t="shared" si="1"/>
        <v>0</v>
      </c>
      <c r="AZ27" s="223">
        <f t="shared" si="9"/>
        <v>0</v>
      </c>
      <c r="BA27" s="218">
        <f t="shared" si="2"/>
        <v>0</v>
      </c>
      <c r="BB27" s="82">
        <f t="shared" si="10"/>
        <v>0</v>
      </c>
      <c r="BC27" s="82">
        <f t="shared" si="3"/>
        <v>0</v>
      </c>
      <c r="BD27" s="223">
        <f t="shared" si="11"/>
        <v>0</v>
      </c>
      <c r="BE27" s="326">
        <f t="shared" si="12"/>
        <v>0</v>
      </c>
      <c r="BF27" s="223">
        <f t="shared" si="13"/>
        <v>0</v>
      </c>
      <c r="BG27" s="223">
        <f t="shared" si="14"/>
        <v>0</v>
      </c>
      <c r="BH27" s="238">
        <f t="shared" si="15"/>
        <v>0</v>
      </c>
      <c r="BI27" s="82">
        <f t="shared" si="16"/>
        <v>0</v>
      </c>
      <c r="BJ27" s="223">
        <f t="shared" si="0"/>
        <v>0</v>
      </c>
    </row>
    <row r="28" spans="1:62" x14ac:dyDescent="0.2">
      <c r="A28" s="266"/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6"/>
      <c r="AR28" s="221">
        <f t="shared" si="4"/>
        <v>0</v>
      </c>
      <c r="AS28" s="258" t="s">
        <v>136</v>
      </c>
      <c r="AT28" s="225">
        <f t="shared" si="17"/>
        <v>0</v>
      </c>
      <c r="AU28" s="329">
        <f t="shared" si="5"/>
        <v>0</v>
      </c>
      <c r="AV28" s="329">
        <f t="shared" si="6"/>
        <v>0</v>
      </c>
      <c r="AW28" s="418">
        <f t="shared" si="7"/>
        <v>0</v>
      </c>
      <c r="AX28" s="223">
        <f t="shared" si="8"/>
        <v>0</v>
      </c>
      <c r="AY28" s="82">
        <f t="shared" si="1"/>
        <v>0</v>
      </c>
      <c r="AZ28" s="223">
        <f t="shared" si="9"/>
        <v>0</v>
      </c>
      <c r="BA28" s="218">
        <f t="shared" si="2"/>
        <v>0</v>
      </c>
      <c r="BB28" s="82">
        <f t="shared" si="10"/>
        <v>0</v>
      </c>
      <c r="BC28" s="82">
        <f t="shared" si="3"/>
        <v>0</v>
      </c>
      <c r="BD28" s="223">
        <f t="shared" si="11"/>
        <v>0</v>
      </c>
      <c r="BE28" s="326">
        <f t="shared" si="12"/>
        <v>0</v>
      </c>
      <c r="BF28" s="223">
        <f t="shared" si="13"/>
        <v>0</v>
      </c>
      <c r="BG28" s="223">
        <f t="shared" si="14"/>
        <v>0</v>
      </c>
      <c r="BH28" s="238">
        <f t="shared" si="15"/>
        <v>0</v>
      </c>
      <c r="BI28" s="82">
        <f t="shared" si="16"/>
        <v>0</v>
      </c>
      <c r="BJ28" s="223">
        <f t="shared" si="0"/>
        <v>0</v>
      </c>
    </row>
    <row r="29" spans="1:62" ht="15.75" x14ac:dyDescent="0.25">
      <c r="A29" s="573" t="s">
        <v>248</v>
      </c>
      <c r="B29" s="588"/>
      <c r="C29" s="574"/>
      <c r="F29" s="241" t="s">
        <v>171</v>
      </c>
      <c r="G29" s="242"/>
      <c r="J29" s="241" t="s">
        <v>171</v>
      </c>
      <c r="K29" s="242"/>
      <c r="AR29" s="221">
        <f t="shared" si="4"/>
        <v>0</v>
      </c>
      <c r="AS29" s="258" t="s">
        <v>136</v>
      </c>
      <c r="AT29" s="225">
        <f t="shared" si="17"/>
        <v>0</v>
      </c>
      <c r="AU29" s="329">
        <f t="shared" si="5"/>
        <v>0</v>
      </c>
      <c r="AV29" s="329">
        <f t="shared" si="6"/>
        <v>0</v>
      </c>
      <c r="AW29" s="418">
        <f t="shared" si="7"/>
        <v>0</v>
      </c>
      <c r="AX29" s="223">
        <f t="shared" si="8"/>
        <v>0</v>
      </c>
      <c r="AY29" s="82">
        <f t="shared" si="1"/>
        <v>0</v>
      </c>
      <c r="AZ29" s="223">
        <f t="shared" si="9"/>
        <v>0</v>
      </c>
      <c r="BA29" s="218">
        <f t="shared" si="2"/>
        <v>0</v>
      </c>
      <c r="BB29" s="82">
        <f t="shared" si="10"/>
        <v>0</v>
      </c>
      <c r="BC29" s="82">
        <f t="shared" si="3"/>
        <v>0</v>
      </c>
      <c r="BD29" s="223">
        <f t="shared" si="11"/>
        <v>0</v>
      </c>
      <c r="BE29" s="326">
        <f t="shared" si="12"/>
        <v>0</v>
      </c>
      <c r="BF29" s="223">
        <f t="shared" si="13"/>
        <v>0</v>
      </c>
      <c r="BG29" s="223">
        <f t="shared" si="14"/>
        <v>0</v>
      </c>
      <c r="BH29" s="238">
        <f t="shared" si="15"/>
        <v>0</v>
      </c>
      <c r="BI29" s="82">
        <f t="shared" si="16"/>
        <v>0</v>
      </c>
      <c r="BJ29" s="223">
        <f t="shared" si="0"/>
        <v>0</v>
      </c>
    </row>
    <row r="30" spans="1:62" x14ac:dyDescent="0.2">
      <c r="A30" s="187"/>
      <c r="B30" s="276"/>
      <c r="C30" s="584" t="s">
        <v>359</v>
      </c>
      <c r="D30" s="585"/>
      <c r="E30" s="115"/>
      <c r="F30" s="105"/>
      <c r="G30" s="105" t="s">
        <v>142</v>
      </c>
      <c r="H30" s="111"/>
      <c r="I30" s="115"/>
      <c r="J30" s="105"/>
      <c r="K30" s="105" t="s">
        <v>165</v>
      </c>
      <c r="L30" s="115"/>
      <c r="M30" s="111" t="s">
        <v>142</v>
      </c>
      <c r="N30" s="115"/>
      <c r="O30" s="49"/>
      <c r="AR30" s="221">
        <f t="shared" si="4"/>
        <v>0</v>
      </c>
      <c r="AS30" s="258" t="s">
        <v>136</v>
      </c>
      <c r="AT30" s="225">
        <f t="shared" si="17"/>
        <v>0</v>
      </c>
      <c r="AU30" s="329">
        <f t="shared" si="5"/>
        <v>0</v>
      </c>
      <c r="AV30" s="329">
        <f t="shared" si="6"/>
        <v>0</v>
      </c>
      <c r="AW30" s="418">
        <f t="shared" si="7"/>
        <v>0</v>
      </c>
      <c r="AX30" s="223">
        <f t="shared" si="8"/>
        <v>0</v>
      </c>
      <c r="AY30" s="82">
        <f t="shared" si="1"/>
        <v>0</v>
      </c>
      <c r="AZ30" s="223">
        <f t="shared" si="9"/>
        <v>0</v>
      </c>
      <c r="BA30" s="218">
        <f t="shared" si="2"/>
        <v>0</v>
      </c>
      <c r="BB30" s="82">
        <f t="shared" si="10"/>
        <v>0</v>
      </c>
      <c r="BC30" s="82">
        <f t="shared" si="3"/>
        <v>0</v>
      </c>
      <c r="BD30" s="223">
        <f t="shared" si="11"/>
        <v>0</v>
      </c>
      <c r="BE30" s="326">
        <f t="shared" si="12"/>
        <v>0</v>
      </c>
      <c r="BF30" s="223">
        <f t="shared" si="13"/>
        <v>0</v>
      </c>
      <c r="BG30" s="223">
        <f t="shared" si="14"/>
        <v>0</v>
      </c>
      <c r="BH30" s="238">
        <f t="shared" si="15"/>
        <v>0</v>
      </c>
      <c r="BI30" s="82">
        <f t="shared" si="16"/>
        <v>0</v>
      </c>
      <c r="BJ30" s="223">
        <f t="shared" si="0"/>
        <v>0</v>
      </c>
    </row>
    <row r="31" spans="1:62" x14ac:dyDescent="0.2">
      <c r="A31" s="278"/>
      <c r="B31" s="277"/>
      <c r="C31" s="559" t="s">
        <v>360</v>
      </c>
      <c r="D31" s="560"/>
      <c r="E31" s="121"/>
      <c r="F31" s="106" t="s">
        <v>142</v>
      </c>
      <c r="G31" s="106" t="s">
        <v>172</v>
      </c>
      <c r="H31" s="112" t="s">
        <v>168</v>
      </c>
      <c r="I31" s="112" t="s">
        <v>159</v>
      </c>
      <c r="J31" s="106" t="s">
        <v>163</v>
      </c>
      <c r="K31" s="106" t="s">
        <v>166</v>
      </c>
      <c r="L31" s="112" t="s">
        <v>185</v>
      </c>
      <c r="M31" s="112" t="s">
        <v>345</v>
      </c>
      <c r="N31" s="112" t="s">
        <v>185</v>
      </c>
      <c r="O31" s="49"/>
      <c r="AR31" s="221">
        <f t="shared" si="4"/>
        <v>0</v>
      </c>
      <c r="AS31" s="258" t="s">
        <v>136</v>
      </c>
      <c r="AT31" s="225">
        <f t="shared" si="17"/>
        <v>0</v>
      </c>
      <c r="AU31" s="329">
        <f t="shared" si="5"/>
        <v>0</v>
      </c>
      <c r="AV31" s="329">
        <f t="shared" si="6"/>
        <v>0</v>
      </c>
      <c r="AW31" s="418">
        <f t="shared" si="7"/>
        <v>0</v>
      </c>
      <c r="AX31" s="223">
        <f t="shared" si="8"/>
        <v>0</v>
      </c>
      <c r="AY31" s="82">
        <f t="shared" si="1"/>
        <v>0</v>
      </c>
      <c r="AZ31" s="223">
        <f t="shared" si="9"/>
        <v>0</v>
      </c>
      <c r="BA31" s="218">
        <f t="shared" si="2"/>
        <v>0</v>
      </c>
      <c r="BB31" s="82">
        <f t="shared" si="10"/>
        <v>0</v>
      </c>
      <c r="BC31" s="82">
        <f t="shared" si="3"/>
        <v>0</v>
      </c>
      <c r="BD31" s="223">
        <f t="shared" si="11"/>
        <v>0</v>
      </c>
      <c r="BE31" s="326">
        <f t="shared" si="12"/>
        <v>0</v>
      </c>
      <c r="BF31" s="223">
        <f t="shared" si="13"/>
        <v>0</v>
      </c>
      <c r="BG31" s="223">
        <f t="shared" si="14"/>
        <v>0</v>
      </c>
      <c r="BH31" s="238">
        <f t="shared" si="15"/>
        <v>0</v>
      </c>
      <c r="BI31" s="82">
        <f t="shared" si="16"/>
        <v>0</v>
      </c>
      <c r="BJ31" s="223">
        <f t="shared" si="0"/>
        <v>0</v>
      </c>
    </row>
    <row r="32" spans="1:62" x14ac:dyDescent="0.2">
      <c r="A32" s="559" t="s">
        <v>361</v>
      </c>
      <c r="B32" s="560"/>
      <c r="C32" s="113" t="s">
        <v>160</v>
      </c>
      <c r="D32" s="113" t="s">
        <v>161</v>
      </c>
      <c r="E32" s="113" t="s">
        <v>249</v>
      </c>
      <c r="F32" s="114" t="s">
        <v>172</v>
      </c>
      <c r="G32" s="114" t="s">
        <v>173</v>
      </c>
      <c r="H32" s="123" t="s">
        <v>169</v>
      </c>
      <c r="I32" s="123" t="s">
        <v>170</v>
      </c>
      <c r="J32" s="107" t="s">
        <v>164</v>
      </c>
      <c r="K32" s="107" t="s">
        <v>167</v>
      </c>
      <c r="L32" s="113" t="s">
        <v>187</v>
      </c>
      <c r="M32" s="113" t="s">
        <v>346</v>
      </c>
      <c r="N32" s="113" t="s">
        <v>347</v>
      </c>
      <c r="O32" s="49"/>
      <c r="AR32" s="221">
        <f t="shared" si="4"/>
        <v>0</v>
      </c>
      <c r="AS32" s="258" t="s">
        <v>136</v>
      </c>
      <c r="AT32" s="225">
        <f t="shared" si="17"/>
        <v>0</v>
      </c>
      <c r="AU32" s="329">
        <f t="shared" si="5"/>
        <v>0</v>
      </c>
      <c r="AV32" s="329">
        <f t="shared" si="6"/>
        <v>0</v>
      </c>
      <c r="AW32" s="418">
        <f t="shared" si="7"/>
        <v>0</v>
      </c>
      <c r="AX32" s="223">
        <f t="shared" si="8"/>
        <v>0</v>
      </c>
      <c r="AY32" s="82">
        <f t="shared" si="1"/>
        <v>0</v>
      </c>
      <c r="AZ32" s="223">
        <f t="shared" si="9"/>
        <v>0</v>
      </c>
      <c r="BA32" s="218">
        <f t="shared" si="2"/>
        <v>0</v>
      </c>
      <c r="BB32" s="82">
        <f t="shared" si="10"/>
        <v>0</v>
      </c>
      <c r="BC32" s="82">
        <f t="shared" si="3"/>
        <v>0</v>
      </c>
      <c r="BD32" s="223">
        <f t="shared" si="11"/>
        <v>0</v>
      </c>
      <c r="BE32" s="326">
        <f t="shared" si="12"/>
        <v>0</v>
      </c>
      <c r="BF32" s="223">
        <f t="shared" si="13"/>
        <v>0</v>
      </c>
      <c r="BG32" s="223">
        <f t="shared" si="14"/>
        <v>0</v>
      </c>
      <c r="BH32" s="238">
        <f t="shared" si="15"/>
        <v>0</v>
      </c>
      <c r="BI32" s="82">
        <f t="shared" si="16"/>
        <v>0</v>
      </c>
      <c r="BJ32" s="223">
        <f t="shared" si="0"/>
        <v>0</v>
      </c>
    </row>
    <row r="33" spans="1:62" x14ac:dyDescent="0.2">
      <c r="A33" s="586" t="s">
        <v>47</v>
      </c>
      <c r="B33" s="586"/>
      <c r="C33" s="196" t="s">
        <v>47</v>
      </c>
      <c r="D33" s="196" t="s">
        <v>47</v>
      </c>
      <c r="E33" s="196" t="s">
        <v>47</v>
      </c>
      <c r="F33" s="195"/>
      <c r="G33" s="195"/>
      <c r="H33" s="195"/>
      <c r="I33" s="195"/>
      <c r="J33" s="194"/>
      <c r="K33" s="107"/>
      <c r="L33" s="290"/>
      <c r="M33" s="164"/>
      <c r="N33" s="164"/>
      <c r="O33" s="49"/>
      <c r="AR33" s="221">
        <f t="shared" si="4"/>
        <v>0</v>
      </c>
      <c r="AS33" s="258" t="s">
        <v>136</v>
      </c>
      <c r="AT33" s="225">
        <f t="shared" si="17"/>
        <v>0</v>
      </c>
      <c r="AU33" s="329">
        <f t="shared" si="5"/>
        <v>0</v>
      </c>
      <c r="AV33" s="329">
        <f t="shared" si="6"/>
        <v>0</v>
      </c>
      <c r="AW33" s="418">
        <f t="shared" si="7"/>
        <v>0</v>
      </c>
      <c r="AX33" s="223">
        <f t="shared" si="8"/>
        <v>0</v>
      </c>
      <c r="AY33" s="82">
        <f t="shared" si="1"/>
        <v>0</v>
      </c>
      <c r="AZ33" s="223">
        <f t="shared" si="9"/>
        <v>0</v>
      </c>
      <c r="BA33" s="218">
        <f t="shared" si="2"/>
        <v>0</v>
      </c>
      <c r="BB33" s="82">
        <f t="shared" si="10"/>
        <v>0</v>
      </c>
      <c r="BC33" s="82">
        <f t="shared" si="3"/>
        <v>0</v>
      </c>
      <c r="BD33" s="223">
        <f t="shared" si="11"/>
        <v>0</v>
      </c>
      <c r="BE33" s="326">
        <f t="shared" si="12"/>
        <v>0</v>
      </c>
      <c r="BF33" s="223">
        <f t="shared" si="13"/>
        <v>0</v>
      </c>
      <c r="BG33" s="223">
        <f t="shared" si="14"/>
        <v>0</v>
      </c>
      <c r="BH33" s="238">
        <f t="shared" si="15"/>
        <v>0</v>
      </c>
      <c r="BI33" s="82">
        <f t="shared" si="16"/>
        <v>0</v>
      </c>
      <c r="BJ33" s="223">
        <f t="shared" si="0"/>
        <v>0</v>
      </c>
    </row>
    <row r="34" spans="1:62" x14ac:dyDescent="0.2">
      <c r="A34" s="332" t="s">
        <v>136</v>
      </c>
      <c r="B34" s="323"/>
      <c r="C34" s="197">
        <v>0</v>
      </c>
      <c r="D34" s="197">
        <v>0</v>
      </c>
      <c r="E34" s="77">
        <v>0</v>
      </c>
      <c r="F34" s="117">
        <f>IF(C34=0,0,$B$8-C34)</f>
        <v>0</v>
      </c>
      <c r="G34" s="117">
        <f>IF(D34&gt;$C$8,F34-1,F34)</f>
        <v>0</v>
      </c>
      <c r="H34" s="174">
        <f>IF(D34=0,0,ROUND(K34/J34,4))</f>
        <v>0</v>
      </c>
      <c r="I34" s="78">
        <f>ROUND(E34*H34,2)</f>
        <v>0</v>
      </c>
      <c r="J34" s="183">
        <f t="shared" ref="J34:J43" si="26">IF(D34=0,0,VLOOKUP(C34,INPC,D34+1))</f>
        <v>0</v>
      </c>
      <c r="K34" s="183">
        <f t="shared" ref="K34:K43" si="27">IF($C$8=0,0,VLOOKUP($F$8,INPC,$G$8))</f>
        <v>0</v>
      </c>
      <c r="L34" s="325"/>
      <c r="M34" s="317"/>
      <c r="N34" s="318"/>
      <c r="O34" s="49"/>
      <c r="AR34" s="221">
        <f t="shared" si="4"/>
        <v>0</v>
      </c>
      <c r="AS34" s="258" t="s">
        <v>136</v>
      </c>
      <c r="AT34" s="225">
        <f t="shared" si="17"/>
        <v>0</v>
      </c>
      <c r="AU34" s="329">
        <f t="shared" si="5"/>
        <v>0</v>
      </c>
      <c r="AV34" s="329">
        <f t="shared" si="6"/>
        <v>0</v>
      </c>
      <c r="AW34" s="418">
        <f t="shared" si="7"/>
        <v>0</v>
      </c>
      <c r="AX34" s="223">
        <f t="shared" si="8"/>
        <v>0</v>
      </c>
      <c r="AY34" s="82">
        <f t="shared" si="1"/>
        <v>0</v>
      </c>
      <c r="AZ34" s="223">
        <f t="shared" si="9"/>
        <v>0</v>
      </c>
      <c r="BA34" s="218">
        <f t="shared" si="2"/>
        <v>0</v>
      </c>
      <c r="BB34" s="82">
        <f t="shared" si="10"/>
        <v>0</v>
      </c>
      <c r="BC34" s="82">
        <f t="shared" si="3"/>
        <v>0</v>
      </c>
      <c r="BD34" s="223">
        <f t="shared" si="11"/>
        <v>0</v>
      </c>
      <c r="BE34" s="326">
        <f t="shared" si="12"/>
        <v>0</v>
      </c>
      <c r="BF34" s="223">
        <f t="shared" si="13"/>
        <v>0</v>
      </c>
      <c r="BG34" s="223">
        <f t="shared" si="14"/>
        <v>0</v>
      </c>
      <c r="BH34" s="238">
        <f t="shared" si="15"/>
        <v>0</v>
      </c>
      <c r="BI34" s="82">
        <f t="shared" si="16"/>
        <v>0</v>
      </c>
      <c r="BJ34" s="223">
        <f t="shared" si="0"/>
        <v>0</v>
      </c>
    </row>
    <row r="35" spans="1:62" x14ac:dyDescent="0.2">
      <c r="A35" s="322" t="s">
        <v>136</v>
      </c>
      <c r="B35" s="323"/>
      <c r="C35" s="197">
        <v>0</v>
      </c>
      <c r="D35" s="197">
        <v>0</v>
      </c>
      <c r="E35" s="77">
        <v>0</v>
      </c>
      <c r="F35" s="117">
        <f t="shared" ref="F35:F43" si="28">IF(C35=0,0,$B$8-C35)</f>
        <v>0</v>
      </c>
      <c r="G35" s="117">
        <f t="shared" ref="G35:G43" si="29">IF(D35&gt;$C$8,F35-1,F35)</f>
        <v>0</v>
      </c>
      <c r="H35" s="174">
        <f t="shared" ref="H35:H43" si="30">IF(D35=0,0,ROUND(K35/J35,4))</f>
        <v>0</v>
      </c>
      <c r="I35" s="78">
        <f t="shared" ref="I35:I43" si="31">ROUND(E35*H35,2)</f>
        <v>0</v>
      </c>
      <c r="J35" s="183">
        <f t="shared" si="26"/>
        <v>0</v>
      </c>
      <c r="K35" s="183">
        <f t="shared" si="27"/>
        <v>0</v>
      </c>
      <c r="L35" s="325"/>
      <c r="M35" s="317"/>
      <c r="N35" s="318"/>
      <c r="O35" s="49"/>
      <c r="AR35" s="221">
        <f t="shared" si="4"/>
        <v>0</v>
      </c>
      <c r="AS35" s="258" t="s">
        <v>136</v>
      </c>
      <c r="AT35" s="225">
        <f t="shared" si="17"/>
        <v>0</v>
      </c>
      <c r="AU35" s="329">
        <f t="shared" si="5"/>
        <v>0</v>
      </c>
      <c r="AV35" s="329">
        <f t="shared" si="6"/>
        <v>0</v>
      </c>
      <c r="AW35" s="418">
        <f t="shared" si="7"/>
        <v>0</v>
      </c>
      <c r="AX35" s="223">
        <f t="shared" si="8"/>
        <v>0</v>
      </c>
      <c r="AY35" s="82">
        <f t="shared" si="1"/>
        <v>0</v>
      </c>
      <c r="AZ35" s="223">
        <f t="shared" si="9"/>
        <v>0</v>
      </c>
      <c r="BA35" s="218">
        <f t="shared" si="2"/>
        <v>0</v>
      </c>
      <c r="BB35" s="82">
        <f t="shared" si="10"/>
        <v>0</v>
      </c>
      <c r="BC35" s="82">
        <f t="shared" si="3"/>
        <v>0</v>
      </c>
      <c r="BD35" s="223">
        <f t="shared" si="11"/>
        <v>0</v>
      </c>
      <c r="BE35" s="326">
        <f t="shared" si="12"/>
        <v>0</v>
      </c>
      <c r="BF35" s="223">
        <f t="shared" si="13"/>
        <v>0</v>
      </c>
      <c r="BG35" s="223">
        <f t="shared" si="14"/>
        <v>0</v>
      </c>
      <c r="BH35" s="238">
        <f t="shared" si="15"/>
        <v>0</v>
      </c>
      <c r="BI35" s="82">
        <f t="shared" si="16"/>
        <v>0</v>
      </c>
      <c r="BJ35" s="223">
        <f t="shared" si="0"/>
        <v>0</v>
      </c>
    </row>
    <row r="36" spans="1:62" x14ac:dyDescent="0.2">
      <c r="A36" s="322" t="s">
        <v>136</v>
      </c>
      <c r="B36" s="323"/>
      <c r="C36" s="197">
        <v>0</v>
      </c>
      <c r="D36" s="197">
        <v>0</v>
      </c>
      <c r="E36" s="77">
        <v>0</v>
      </c>
      <c r="F36" s="117">
        <f t="shared" si="28"/>
        <v>0</v>
      </c>
      <c r="G36" s="117">
        <f t="shared" si="29"/>
        <v>0</v>
      </c>
      <c r="H36" s="174">
        <f t="shared" si="30"/>
        <v>0</v>
      </c>
      <c r="I36" s="78">
        <f t="shared" si="31"/>
        <v>0</v>
      </c>
      <c r="J36" s="183">
        <f t="shared" si="26"/>
        <v>0</v>
      </c>
      <c r="K36" s="183">
        <f t="shared" si="27"/>
        <v>0</v>
      </c>
      <c r="L36" s="325"/>
      <c r="M36" s="317"/>
      <c r="N36" s="318"/>
      <c r="O36" s="49"/>
      <c r="AR36" s="221">
        <f t="shared" si="4"/>
        <v>0</v>
      </c>
      <c r="AS36" s="258" t="s">
        <v>136</v>
      </c>
      <c r="AT36" s="225">
        <f t="shared" si="17"/>
        <v>0</v>
      </c>
      <c r="AU36" s="329">
        <f t="shared" si="5"/>
        <v>0</v>
      </c>
      <c r="AV36" s="329">
        <f t="shared" si="6"/>
        <v>0</v>
      </c>
      <c r="AW36" s="418">
        <f t="shared" si="7"/>
        <v>0</v>
      </c>
      <c r="AX36" s="223">
        <f t="shared" si="8"/>
        <v>0</v>
      </c>
      <c r="AY36" s="82">
        <f t="shared" si="1"/>
        <v>0</v>
      </c>
      <c r="AZ36" s="223">
        <f t="shared" si="9"/>
        <v>0</v>
      </c>
      <c r="BA36" s="218">
        <f t="shared" si="2"/>
        <v>0</v>
      </c>
      <c r="BB36" s="82">
        <f t="shared" si="10"/>
        <v>0</v>
      </c>
      <c r="BC36" s="82">
        <f t="shared" si="3"/>
        <v>0</v>
      </c>
      <c r="BD36" s="223">
        <f t="shared" si="11"/>
        <v>0</v>
      </c>
      <c r="BE36" s="326">
        <f t="shared" si="12"/>
        <v>0</v>
      </c>
      <c r="BF36" s="223">
        <f t="shared" si="13"/>
        <v>0</v>
      </c>
      <c r="BG36" s="223">
        <f t="shared" si="14"/>
        <v>0</v>
      </c>
      <c r="BH36" s="238">
        <f t="shared" si="15"/>
        <v>0</v>
      </c>
      <c r="BI36" s="82">
        <f t="shared" si="16"/>
        <v>0</v>
      </c>
      <c r="BJ36" s="223">
        <f t="shared" si="0"/>
        <v>0</v>
      </c>
    </row>
    <row r="37" spans="1:62" x14ac:dyDescent="0.2">
      <c r="A37" s="322" t="s">
        <v>136</v>
      </c>
      <c r="B37" s="323"/>
      <c r="C37" s="197">
        <v>0</v>
      </c>
      <c r="D37" s="197">
        <v>0</v>
      </c>
      <c r="E37" s="77">
        <v>0</v>
      </c>
      <c r="F37" s="117">
        <f t="shared" si="28"/>
        <v>0</v>
      </c>
      <c r="G37" s="117">
        <f t="shared" si="29"/>
        <v>0</v>
      </c>
      <c r="H37" s="174">
        <f t="shared" si="30"/>
        <v>0</v>
      </c>
      <c r="I37" s="78">
        <f t="shared" si="31"/>
        <v>0</v>
      </c>
      <c r="J37" s="183">
        <f t="shared" si="26"/>
        <v>0</v>
      </c>
      <c r="K37" s="183">
        <f t="shared" si="27"/>
        <v>0</v>
      </c>
      <c r="L37" s="325"/>
      <c r="M37" s="317"/>
      <c r="N37" s="318"/>
      <c r="O37" s="49"/>
      <c r="AR37" s="221">
        <f t="shared" si="4"/>
        <v>0</v>
      </c>
      <c r="AS37" s="258" t="s">
        <v>136</v>
      </c>
      <c r="AT37" s="225">
        <f t="shared" si="17"/>
        <v>0</v>
      </c>
      <c r="AU37" s="329">
        <f t="shared" si="5"/>
        <v>0</v>
      </c>
      <c r="AV37" s="329">
        <f t="shared" si="6"/>
        <v>0</v>
      </c>
      <c r="AW37" s="418">
        <f t="shared" si="7"/>
        <v>0</v>
      </c>
      <c r="AX37" s="223">
        <f t="shared" si="8"/>
        <v>0</v>
      </c>
      <c r="AY37" s="82">
        <f t="shared" si="1"/>
        <v>0</v>
      </c>
      <c r="AZ37" s="223">
        <f t="shared" si="9"/>
        <v>0</v>
      </c>
      <c r="BA37" s="218">
        <f t="shared" si="2"/>
        <v>0</v>
      </c>
      <c r="BB37" s="82">
        <f t="shared" si="10"/>
        <v>0</v>
      </c>
      <c r="BC37" s="82">
        <f t="shared" si="3"/>
        <v>0</v>
      </c>
      <c r="BD37" s="223">
        <f t="shared" si="11"/>
        <v>0</v>
      </c>
      <c r="BE37" s="326">
        <f t="shared" si="12"/>
        <v>0</v>
      </c>
      <c r="BF37" s="223">
        <f t="shared" si="13"/>
        <v>0</v>
      </c>
      <c r="BG37" s="223">
        <f t="shared" si="14"/>
        <v>0</v>
      </c>
      <c r="BH37" s="238">
        <f t="shared" si="15"/>
        <v>0</v>
      </c>
      <c r="BI37" s="82">
        <f t="shared" si="16"/>
        <v>0</v>
      </c>
      <c r="BJ37" s="223">
        <f t="shared" si="0"/>
        <v>0</v>
      </c>
    </row>
    <row r="38" spans="1:62" x14ac:dyDescent="0.2">
      <c r="A38" s="322" t="s">
        <v>136</v>
      </c>
      <c r="B38" s="323"/>
      <c r="C38" s="197">
        <v>0</v>
      </c>
      <c r="D38" s="197">
        <v>0</v>
      </c>
      <c r="E38" s="77">
        <v>0</v>
      </c>
      <c r="F38" s="117">
        <f t="shared" si="28"/>
        <v>0</v>
      </c>
      <c r="G38" s="117">
        <f t="shared" si="29"/>
        <v>0</v>
      </c>
      <c r="H38" s="174">
        <f t="shared" si="30"/>
        <v>0</v>
      </c>
      <c r="I38" s="78">
        <f t="shared" si="31"/>
        <v>0</v>
      </c>
      <c r="J38" s="183">
        <f t="shared" si="26"/>
        <v>0</v>
      </c>
      <c r="K38" s="183">
        <f t="shared" si="27"/>
        <v>0</v>
      </c>
      <c r="L38" s="325"/>
      <c r="M38" s="317"/>
      <c r="N38" s="318"/>
      <c r="O38" s="49"/>
      <c r="AR38" s="221">
        <f t="shared" si="4"/>
        <v>0</v>
      </c>
      <c r="AS38" s="258" t="s">
        <v>136</v>
      </c>
      <c r="AT38" s="225">
        <f t="shared" si="17"/>
        <v>0</v>
      </c>
      <c r="AU38" s="329">
        <f t="shared" si="5"/>
        <v>0</v>
      </c>
      <c r="AV38" s="329">
        <f t="shared" si="6"/>
        <v>0</v>
      </c>
      <c r="AW38" s="418">
        <f t="shared" si="7"/>
        <v>0</v>
      </c>
      <c r="AX38" s="223">
        <f t="shared" si="8"/>
        <v>0</v>
      </c>
      <c r="AY38" s="82">
        <f t="shared" si="1"/>
        <v>0</v>
      </c>
      <c r="AZ38" s="223">
        <f t="shared" si="9"/>
        <v>0</v>
      </c>
      <c r="BA38" s="218">
        <f t="shared" si="2"/>
        <v>0</v>
      </c>
      <c r="BB38" s="82">
        <f t="shared" si="10"/>
        <v>0</v>
      </c>
      <c r="BC38" s="82">
        <f t="shared" si="3"/>
        <v>0</v>
      </c>
      <c r="BD38" s="223">
        <f t="shared" si="11"/>
        <v>0</v>
      </c>
      <c r="BE38" s="326">
        <f t="shared" si="12"/>
        <v>0</v>
      </c>
      <c r="BF38" s="223">
        <f t="shared" si="13"/>
        <v>0</v>
      </c>
      <c r="BG38" s="223">
        <f t="shared" si="14"/>
        <v>0</v>
      </c>
      <c r="BH38" s="238">
        <f t="shared" si="15"/>
        <v>0</v>
      </c>
      <c r="BI38" s="82">
        <f t="shared" si="16"/>
        <v>0</v>
      </c>
      <c r="BJ38" s="223">
        <f t="shared" si="0"/>
        <v>0</v>
      </c>
    </row>
    <row r="39" spans="1:62" x14ac:dyDescent="0.2">
      <c r="A39" s="322" t="s">
        <v>136</v>
      </c>
      <c r="B39" s="323"/>
      <c r="C39" s="197">
        <v>0</v>
      </c>
      <c r="D39" s="197">
        <v>0</v>
      </c>
      <c r="E39" s="77">
        <v>0</v>
      </c>
      <c r="F39" s="117">
        <f t="shared" si="28"/>
        <v>0</v>
      </c>
      <c r="G39" s="117">
        <f t="shared" si="29"/>
        <v>0</v>
      </c>
      <c r="H39" s="174">
        <f t="shared" si="30"/>
        <v>0</v>
      </c>
      <c r="I39" s="78">
        <f t="shared" si="31"/>
        <v>0</v>
      </c>
      <c r="J39" s="183">
        <f t="shared" si="26"/>
        <v>0</v>
      </c>
      <c r="K39" s="183">
        <f t="shared" si="27"/>
        <v>0</v>
      </c>
      <c r="L39" s="325"/>
      <c r="M39" s="317"/>
      <c r="N39" s="318"/>
      <c r="O39" s="49"/>
      <c r="AR39" s="221">
        <f t="shared" si="4"/>
        <v>0</v>
      </c>
      <c r="AS39" s="258" t="s">
        <v>136</v>
      </c>
      <c r="AT39" s="225">
        <f t="shared" si="17"/>
        <v>0</v>
      </c>
      <c r="AU39" s="329">
        <f t="shared" si="5"/>
        <v>0</v>
      </c>
      <c r="AV39" s="329">
        <f t="shared" si="6"/>
        <v>0</v>
      </c>
      <c r="AW39" s="418">
        <f t="shared" si="7"/>
        <v>0</v>
      </c>
      <c r="AX39" s="223">
        <f t="shared" si="8"/>
        <v>0</v>
      </c>
      <c r="AY39" s="82">
        <f t="shared" si="1"/>
        <v>0</v>
      </c>
      <c r="AZ39" s="223">
        <f t="shared" si="9"/>
        <v>0</v>
      </c>
      <c r="BA39" s="218">
        <f t="shared" si="2"/>
        <v>0</v>
      </c>
      <c r="BB39" s="82">
        <f t="shared" si="10"/>
        <v>0</v>
      </c>
      <c r="BC39" s="82">
        <f t="shared" si="3"/>
        <v>0</v>
      </c>
      <c r="BD39" s="223">
        <f t="shared" si="11"/>
        <v>0</v>
      </c>
      <c r="BE39" s="326">
        <f t="shared" si="12"/>
        <v>0</v>
      </c>
      <c r="BF39" s="223">
        <f t="shared" si="13"/>
        <v>0</v>
      </c>
      <c r="BG39" s="223">
        <f t="shared" si="14"/>
        <v>0</v>
      </c>
      <c r="BH39" s="238">
        <f t="shared" si="15"/>
        <v>0</v>
      </c>
      <c r="BI39" s="82">
        <f t="shared" si="16"/>
        <v>0</v>
      </c>
      <c r="BJ39" s="223">
        <f t="shared" si="0"/>
        <v>0</v>
      </c>
    </row>
    <row r="40" spans="1:62" x14ac:dyDescent="0.2">
      <c r="A40" s="322" t="s">
        <v>136</v>
      </c>
      <c r="B40" s="323"/>
      <c r="C40" s="197">
        <v>0</v>
      </c>
      <c r="D40" s="197">
        <v>0</v>
      </c>
      <c r="E40" s="77">
        <v>0</v>
      </c>
      <c r="F40" s="117">
        <f t="shared" si="28"/>
        <v>0</v>
      </c>
      <c r="G40" s="117">
        <f t="shared" si="29"/>
        <v>0</v>
      </c>
      <c r="H40" s="174">
        <f t="shared" si="30"/>
        <v>0</v>
      </c>
      <c r="I40" s="78">
        <f t="shared" si="31"/>
        <v>0</v>
      </c>
      <c r="J40" s="183">
        <f t="shared" si="26"/>
        <v>0</v>
      </c>
      <c r="K40" s="183">
        <f t="shared" si="27"/>
        <v>0</v>
      </c>
      <c r="L40" s="325"/>
      <c r="M40" s="317"/>
      <c r="N40" s="318"/>
      <c r="O40" s="49"/>
      <c r="AR40" s="221">
        <f t="shared" si="4"/>
        <v>0</v>
      </c>
      <c r="AS40" s="258" t="s">
        <v>136</v>
      </c>
      <c r="AT40" s="225">
        <f t="shared" si="17"/>
        <v>0</v>
      </c>
      <c r="AU40" s="329">
        <f t="shared" si="5"/>
        <v>0</v>
      </c>
      <c r="AV40" s="329">
        <f t="shared" si="6"/>
        <v>0</v>
      </c>
      <c r="AW40" s="418">
        <f t="shared" si="7"/>
        <v>0</v>
      </c>
      <c r="AX40" s="223">
        <f t="shared" si="8"/>
        <v>0</v>
      </c>
      <c r="AY40" s="82">
        <f t="shared" si="1"/>
        <v>0</v>
      </c>
      <c r="AZ40" s="223">
        <f t="shared" si="9"/>
        <v>0</v>
      </c>
      <c r="BA40" s="218">
        <f t="shared" si="2"/>
        <v>0</v>
      </c>
      <c r="BB40" s="82">
        <f t="shared" si="10"/>
        <v>0</v>
      </c>
      <c r="BC40" s="82">
        <f t="shared" si="3"/>
        <v>0</v>
      </c>
      <c r="BD40" s="223">
        <f t="shared" si="11"/>
        <v>0</v>
      </c>
      <c r="BE40" s="326">
        <f t="shared" si="12"/>
        <v>0</v>
      </c>
      <c r="BF40" s="223">
        <f t="shared" si="13"/>
        <v>0</v>
      </c>
      <c r="BG40" s="223">
        <f t="shared" si="14"/>
        <v>0</v>
      </c>
      <c r="BH40" s="238">
        <f t="shared" si="15"/>
        <v>0</v>
      </c>
      <c r="BI40" s="82">
        <f t="shared" si="16"/>
        <v>0</v>
      </c>
      <c r="BJ40" s="223">
        <f t="shared" si="0"/>
        <v>0</v>
      </c>
    </row>
    <row r="41" spans="1:62" x14ac:dyDescent="0.2">
      <c r="A41" s="322" t="s">
        <v>136</v>
      </c>
      <c r="B41" s="323"/>
      <c r="C41" s="197">
        <v>0</v>
      </c>
      <c r="D41" s="197">
        <v>0</v>
      </c>
      <c r="E41" s="77">
        <v>0</v>
      </c>
      <c r="F41" s="117">
        <f t="shared" si="28"/>
        <v>0</v>
      </c>
      <c r="G41" s="117">
        <f t="shared" si="29"/>
        <v>0</v>
      </c>
      <c r="H41" s="174">
        <f t="shared" si="30"/>
        <v>0</v>
      </c>
      <c r="I41" s="78">
        <f t="shared" si="31"/>
        <v>0</v>
      </c>
      <c r="J41" s="183">
        <f t="shared" si="26"/>
        <v>0</v>
      </c>
      <c r="K41" s="183">
        <f t="shared" si="27"/>
        <v>0</v>
      </c>
      <c r="L41" s="325"/>
      <c r="M41" s="317"/>
      <c r="N41" s="318"/>
      <c r="O41" s="49"/>
      <c r="AR41" s="221">
        <f t="shared" si="4"/>
        <v>0</v>
      </c>
      <c r="AS41" s="258" t="s">
        <v>136</v>
      </c>
      <c r="AT41" s="225">
        <f t="shared" si="17"/>
        <v>0</v>
      </c>
      <c r="AU41" s="329">
        <f t="shared" si="5"/>
        <v>0</v>
      </c>
      <c r="AV41" s="329">
        <f t="shared" si="6"/>
        <v>0</v>
      </c>
      <c r="AW41" s="418">
        <f t="shared" si="7"/>
        <v>0</v>
      </c>
      <c r="AX41" s="223">
        <f t="shared" si="8"/>
        <v>0</v>
      </c>
      <c r="AY41" s="82">
        <f t="shared" si="1"/>
        <v>0</v>
      </c>
      <c r="AZ41" s="223">
        <f t="shared" si="9"/>
        <v>0</v>
      </c>
      <c r="BA41" s="218">
        <f t="shared" si="2"/>
        <v>0</v>
      </c>
      <c r="BB41" s="82">
        <f t="shared" si="10"/>
        <v>0</v>
      </c>
      <c r="BC41" s="82">
        <f t="shared" si="3"/>
        <v>0</v>
      </c>
      <c r="BD41" s="223">
        <f t="shared" si="11"/>
        <v>0</v>
      </c>
      <c r="BE41" s="326">
        <f t="shared" si="12"/>
        <v>0</v>
      </c>
      <c r="BF41" s="223">
        <f t="shared" si="13"/>
        <v>0</v>
      </c>
      <c r="BG41" s="223">
        <f t="shared" si="14"/>
        <v>0</v>
      </c>
      <c r="BH41" s="238">
        <f t="shared" si="15"/>
        <v>0</v>
      </c>
      <c r="BI41" s="82">
        <f t="shared" si="16"/>
        <v>0</v>
      </c>
      <c r="BJ41" s="223">
        <f t="shared" si="0"/>
        <v>0</v>
      </c>
    </row>
    <row r="42" spans="1:62" x14ac:dyDescent="0.2">
      <c r="A42" s="322" t="s">
        <v>136</v>
      </c>
      <c r="B42" s="323"/>
      <c r="C42" s="197">
        <v>0</v>
      </c>
      <c r="D42" s="197">
        <v>0</v>
      </c>
      <c r="E42" s="77">
        <v>0</v>
      </c>
      <c r="F42" s="117">
        <f t="shared" si="28"/>
        <v>0</v>
      </c>
      <c r="G42" s="117">
        <f t="shared" si="29"/>
        <v>0</v>
      </c>
      <c r="H42" s="174">
        <f t="shared" si="30"/>
        <v>0</v>
      </c>
      <c r="I42" s="78">
        <f t="shared" si="31"/>
        <v>0</v>
      </c>
      <c r="J42" s="183">
        <f t="shared" si="26"/>
        <v>0</v>
      </c>
      <c r="K42" s="183">
        <f t="shared" si="27"/>
        <v>0</v>
      </c>
      <c r="L42" s="325"/>
      <c r="M42" s="331">
        <f>IF(D34&gt;C8,(B8-C34)-1,B8-C34)</f>
        <v>0</v>
      </c>
      <c r="N42" s="318"/>
      <c r="O42" s="49"/>
      <c r="AR42" s="221">
        <f t="shared" si="4"/>
        <v>0</v>
      </c>
      <c r="AS42" s="258" t="s">
        <v>136</v>
      </c>
      <c r="AT42" s="225">
        <f t="shared" si="17"/>
        <v>0</v>
      </c>
      <c r="AU42" s="329">
        <f t="shared" si="5"/>
        <v>0</v>
      </c>
      <c r="AV42" s="329">
        <f t="shared" si="6"/>
        <v>0</v>
      </c>
      <c r="AW42" s="418">
        <f t="shared" si="7"/>
        <v>0</v>
      </c>
      <c r="AX42" s="223">
        <f t="shared" si="8"/>
        <v>0</v>
      </c>
      <c r="AY42" s="82">
        <f t="shared" si="1"/>
        <v>0</v>
      </c>
      <c r="AZ42" s="223">
        <f t="shared" si="9"/>
        <v>0</v>
      </c>
      <c r="BA42" s="218">
        <f t="shared" si="2"/>
        <v>0</v>
      </c>
      <c r="BB42" s="82">
        <f t="shared" si="10"/>
        <v>0</v>
      </c>
      <c r="BC42" s="82">
        <f t="shared" si="3"/>
        <v>0</v>
      </c>
      <c r="BD42" s="223">
        <f t="shared" si="11"/>
        <v>0</v>
      </c>
      <c r="BE42" s="326">
        <f t="shared" si="12"/>
        <v>0</v>
      </c>
      <c r="BF42" s="223">
        <f t="shared" si="13"/>
        <v>0</v>
      </c>
      <c r="BG42" s="223">
        <f t="shared" si="14"/>
        <v>0</v>
      </c>
      <c r="BH42" s="238">
        <f t="shared" si="15"/>
        <v>0</v>
      </c>
      <c r="BI42" s="82">
        <f t="shared" si="16"/>
        <v>0</v>
      </c>
      <c r="BJ42" s="223">
        <f t="shared" si="0"/>
        <v>0</v>
      </c>
    </row>
    <row r="43" spans="1:62" x14ac:dyDescent="0.2">
      <c r="A43" s="322" t="s">
        <v>136</v>
      </c>
      <c r="B43" s="323"/>
      <c r="C43" s="197">
        <v>0</v>
      </c>
      <c r="D43" s="197">
        <v>0</v>
      </c>
      <c r="E43" s="77">
        <v>0</v>
      </c>
      <c r="F43" s="117">
        <f t="shared" si="28"/>
        <v>0</v>
      </c>
      <c r="G43" s="117">
        <f t="shared" si="29"/>
        <v>0</v>
      </c>
      <c r="H43" s="174">
        <f t="shared" si="30"/>
        <v>0</v>
      </c>
      <c r="I43" s="78">
        <f t="shared" si="31"/>
        <v>0</v>
      </c>
      <c r="J43" s="183">
        <f t="shared" si="26"/>
        <v>0</v>
      </c>
      <c r="K43" s="183">
        <f t="shared" si="27"/>
        <v>0</v>
      </c>
      <c r="L43" s="324"/>
      <c r="M43" s="306"/>
      <c r="N43" s="108"/>
      <c r="O43" s="49"/>
      <c r="AR43" s="221">
        <f t="shared" si="4"/>
        <v>0</v>
      </c>
      <c r="AS43" s="258" t="s">
        <v>136</v>
      </c>
      <c r="AT43" s="225">
        <f t="shared" si="17"/>
        <v>0</v>
      </c>
      <c r="AU43" s="329">
        <f t="shared" si="5"/>
        <v>0</v>
      </c>
      <c r="AV43" s="329">
        <f t="shared" si="6"/>
        <v>0</v>
      </c>
      <c r="AW43" s="418">
        <f t="shared" si="7"/>
        <v>0</v>
      </c>
      <c r="AX43" s="223">
        <f t="shared" si="8"/>
        <v>0</v>
      </c>
      <c r="AY43" s="82">
        <f t="shared" si="1"/>
        <v>0</v>
      </c>
      <c r="AZ43" s="223">
        <f t="shared" si="9"/>
        <v>0</v>
      </c>
      <c r="BA43" s="218">
        <f t="shared" si="2"/>
        <v>0</v>
      </c>
      <c r="BB43" s="82">
        <f t="shared" si="10"/>
        <v>0</v>
      </c>
      <c r="BC43" s="82">
        <f t="shared" si="3"/>
        <v>0</v>
      </c>
      <c r="BD43" s="223">
        <f t="shared" si="11"/>
        <v>0</v>
      </c>
      <c r="BE43" s="326">
        <f t="shared" si="12"/>
        <v>0</v>
      </c>
      <c r="BF43" s="223">
        <f t="shared" si="13"/>
        <v>0</v>
      </c>
      <c r="BG43" s="223">
        <f t="shared" si="14"/>
        <v>0</v>
      </c>
      <c r="BH43" s="238">
        <f t="shared" si="15"/>
        <v>0</v>
      </c>
      <c r="BI43" s="82">
        <f t="shared" si="16"/>
        <v>0</v>
      </c>
      <c r="BJ43" s="223">
        <f t="shared" si="0"/>
        <v>0</v>
      </c>
    </row>
    <row r="44" spans="1:62" x14ac:dyDescent="0.2">
      <c r="E44" s="374">
        <f>SUM(E34:E43)</f>
        <v>0</v>
      </c>
      <c r="H44" s="381">
        <f>M26+I44</f>
        <v>0</v>
      </c>
      <c r="I44" s="374">
        <f>SUM(I34:I43)</f>
        <v>0</v>
      </c>
      <c r="L44" s="83">
        <f>D8-I44</f>
        <v>0</v>
      </c>
      <c r="M44" s="183">
        <f>IF(M42&gt;20,20,M42)</f>
        <v>0</v>
      </c>
      <c r="N44" s="120">
        <f>IF(L44=0,0,ROUND(L44/M44,2))</f>
        <v>0</v>
      </c>
      <c r="O44" s="49"/>
      <c r="AR44" s="221">
        <f t="shared" si="4"/>
        <v>0</v>
      </c>
      <c r="AS44" s="258" t="s">
        <v>136</v>
      </c>
      <c r="AT44" s="225">
        <f t="shared" si="17"/>
        <v>0</v>
      </c>
      <c r="AU44" s="329">
        <f t="shared" si="5"/>
        <v>0</v>
      </c>
      <c r="AV44" s="329">
        <f t="shared" si="6"/>
        <v>0</v>
      </c>
      <c r="AW44" s="418">
        <f t="shared" si="7"/>
        <v>0</v>
      </c>
      <c r="AX44" s="223">
        <f t="shared" si="8"/>
        <v>0</v>
      </c>
      <c r="AY44" s="82">
        <f t="shared" si="1"/>
        <v>0</v>
      </c>
      <c r="AZ44" s="223">
        <f t="shared" si="9"/>
        <v>0</v>
      </c>
      <c r="BA44" s="218">
        <f t="shared" si="2"/>
        <v>0</v>
      </c>
      <c r="BB44" s="82">
        <f t="shared" si="10"/>
        <v>0</v>
      </c>
      <c r="BC44" s="82">
        <f t="shared" si="3"/>
        <v>0</v>
      </c>
      <c r="BD44" s="223">
        <f t="shared" si="11"/>
        <v>0</v>
      </c>
      <c r="BE44" s="326">
        <f t="shared" si="12"/>
        <v>0</v>
      </c>
      <c r="BF44" s="223">
        <f t="shared" si="13"/>
        <v>0</v>
      </c>
      <c r="BG44" s="223">
        <f t="shared" si="14"/>
        <v>0</v>
      </c>
      <c r="BH44" s="238">
        <f t="shared" si="15"/>
        <v>0</v>
      </c>
      <c r="BI44" s="82">
        <f t="shared" si="16"/>
        <v>0</v>
      </c>
      <c r="BJ44" s="223">
        <f t="shared" si="0"/>
        <v>0</v>
      </c>
    </row>
    <row r="45" spans="1:62" x14ac:dyDescent="0.2">
      <c r="H45" s="381">
        <f>D9*0.1</f>
        <v>0</v>
      </c>
      <c r="I45" s="379">
        <f>IF(H45&gt;H44,1,0)</f>
        <v>0</v>
      </c>
      <c r="K45" s="309"/>
      <c r="L45" s="49"/>
      <c r="M45" s="49"/>
      <c r="N45" s="378"/>
      <c r="O45" s="49"/>
      <c r="Z45" s="82"/>
      <c r="AR45" s="221">
        <f t="shared" si="4"/>
        <v>0</v>
      </c>
      <c r="AS45" s="258" t="s">
        <v>136</v>
      </c>
      <c r="AT45" s="225">
        <f t="shared" si="17"/>
        <v>0</v>
      </c>
      <c r="AU45" s="329">
        <f t="shared" si="5"/>
        <v>0</v>
      </c>
      <c r="AV45" s="329">
        <f t="shared" si="6"/>
        <v>0</v>
      </c>
      <c r="AW45" s="418">
        <f t="shared" si="7"/>
        <v>0</v>
      </c>
      <c r="AX45" s="223">
        <f t="shared" si="8"/>
        <v>0</v>
      </c>
      <c r="AY45" s="82">
        <f t="shared" si="1"/>
        <v>0</v>
      </c>
      <c r="AZ45" s="223">
        <f t="shared" si="9"/>
        <v>0</v>
      </c>
      <c r="BA45" s="218">
        <f t="shared" si="2"/>
        <v>0</v>
      </c>
      <c r="BB45" s="82">
        <f t="shared" si="10"/>
        <v>0</v>
      </c>
      <c r="BC45" s="82">
        <f t="shared" si="3"/>
        <v>0</v>
      </c>
      <c r="BD45" s="223">
        <f t="shared" si="11"/>
        <v>0</v>
      </c>
      <c r="BE45" s="326">
        <f t="shared" si="12"/>
        <v>0</v>
      </c>
      <c r="BF45" s="223">
        <f t="shared" si="13"/>
        <v>0</v>
      </c>
      <c r="BG45" s="223">
        <f t="shared" si="14"/>
        <v>0</v>
      </c>
      <c r="BH45" s="238">
        <f t="shared" si="15"/>
        <v>0</v>
      </c>
      <c r="BI45" s="82">
        <f t="shared" si="16"/>
        <v>0</v>
      </c>
      <c r="BJ45" s="223">
        <f t="shared" si="0"/>
        <v>0</v>
      </c>
    </row>
    <row r="46" spans="1:62" x14ac:dyDescent="0.2">
      <c r="A46" s="587" t="s">
        <v>281</v>
      </c>
      <c r="B46" s="587"/>
      <c r="C46" s="587"/>
      <c r="E46" s="376" t="s">
        <v>293</v>
      </c>
      <c r="F46" s="27"/>
      <c r="G46" s="27"/>
      <c r="H46" s="27"/>
      <c r="I46" s="373" t="s">
        <v>505</v>
      </c>
      <c r="J46" s="377"/>
      <c r="K46" s="375"/>
      <c r="L46" s="373" t="s">
        <v>185</v>
      </c>
      <c r="M46" s="373" t="s">
        <v>507</v>
      </c>
      <c r="N46" s="373" t="s">
        <v>506</v>
      </c>
      <c r="O46" s="49"/>
      <c r="Z46" s="217"/>
      <c r="AR46" s="221">
        <f t="shared" si="4"/>
        <v>0</v>
      </c>
      <c r="AS46" s="258" t="s">
        <v>136</v>
      </c>
      <c r="AT46" s="225">
        <f t="shared" si="17"/>
        <v>0</v>
      </c>
      <c r="AU46" s="329">
        <f t="shared" si="5"/>
        <v>0</v>
      </c>
      <c r="AV46" s="329">
        <f t="shared" si="6"/>
        <v>0</v>
      </c>
      <c r="AW46" s="418">
        <f t="shared" si="7"/>
        <v>0</v>
      </c>
      <c r="AX46" s="223">
        <f t="shared" si="8"/>
        <v>0</v>
      </c>
      <c r="AY46" s="82">
        <f t="shared" si="1"/>
        <v>0</v>
      </c>
      <c r="AZ46" s="223">
        <f t="shared" si="9"/>
        <v>0</v>
      </c>
      <c r="BA46" s="218">
        <f t="shared" si="2"/>
        <v>0</v>
      </c>
      <c r="BB46" s="82">
        <f t="shared" si="10"/>
        <v>0</v>
      </c>
      <c r="BC46" s="82">
        <f t="shared" si="3"/>
        <v>0</v>
      </c>
      <c r="BD46" s="223">
        <f t="shared" si="11"/>
        <v>0</v>
      </c>
      <c r="BE46" s="326">
        <f t="shared" si="12"/>
        <v>0</v>
      </c>
      <c r="BF46" s="223">
        <f t="shared" si="13"/>
        <v>0</v>
      </c>
      <c r="BG46" s="223">
        <f t="shared" si="14"/>
        <v>0</v>
      </c>
      <c r="BH46" s="238">
        <f t="shared" si="15"/>
        <v>0</v>
      </c>
      <c r="BI46" s="82">
        <f t="shared" si="16"/>
        <v>0</v>
      </c>
      <c r="BJ46" s="223">
        <f t="shared" si="0"/>
        <v>0</v>
      </c>
    </row>
    <row r="47" spans="1:62" x14ac:dyDescent="0.2">
      <c r="E47" s="371" t="s">
        <v>503</v>
      </c>
      <c r="F47" s="27"/>
      <c r="G47" s="27"/>
      <c r="H47" s="27"/>
      <c r="I47" s="413">
        <f>IF(H44&gt;H45,M26,ROUND(D7*0.1,2))</f>
        <v>0</v>
      </c>
      <c r="J47" s="414"/>
      <c r="K47" s="414"/>
      <c r="L47" s="416">
        <f>D7-I47</f>
        <v>0</v>
      </c>
      <c r="M47" s="420">
        <f>O26</f>
        <v>0</v>
      </c>
      <c r="N47" s="416">
        <f>IF(L47=0,0,ROUND(L47/M47,2))</f>
        <v>0</v>
      </c>
      <c r="Z47" s="217"/>
      <c r="AT47" s="215"/>
      <c r="AU47" s="215"/>
      <c r="AV47" s="215"/>
      <c r="AW47" s="224"/>
      <c r="AX47" s="224"/>
      <c r="BH47" s="1"/>
    </row>
    <row r="48" spans="1:62" x14ac:dyDescent="0.2">
      <c r="A48" s="184" t="s">
        <v>330</v>
      </c>
      <c r="B48" s="185"/>
      <c r="C48" s="186"/>
      <c r="D48" s="78">
        <f>N49</f>
        <v>0</v>
      </c>
      <c r="E48" s="371" t="s">
        <v>504</v>
      </c>
      <c r="F48" s="27"/>
      <c r="G48" s="27"/>
      <c r="H48" s="27"/>
      <c r="I48" s="413">
        <f>IF(H44&gt;H45,I44,ROUND(D8*0.1,2))</f>
        <v>0</v>
      </c>
      <c r="J48" s="414"/>
      <c r="K48" s="414"/>
      <c r="L48" s="416">
        <f>D8-I48</f>
        <v>0</v>
      </c>
      <c r="M48" s="420">
        <f>M44</f>
        <v>0</v>
      </c>
      <c r="N48" s="416">
        <f>IF(L48=0,0,ROUND(L48/M48,2))</f>
        <v>0</v>
      </c>
      <c r="AT48" s="215"/>
      <c r="AU48" s="215"/>
      <c r="AV48" s="215"/>
      <c r="AW48" s="224"/>
      <c r="AX48" s="224"/>
      <c r="BH48" s="1"/>
    </row>
    <row r="49" spans="1:60" x14ac:dyDescent="0.2">
      <c r="A49" s="184" t="s">
        <v>261</v>
      </c>
      <c r="B49" s="185"/>
      <c r="C49" s="186"/>
      <c r="D49" s="78">
        <f>+(N26+L44)-D48</f>
        <v>0</v>
      </c>
      <c r="E49" s="27"/>
      <c r="F49" s="27"/>
      <c r="G49" s="27"/>
      <c r="H49" s="27"/>
      <c r="I49" s="417">
        <f>SUM(I47:I48)</f>
        <v>0</v>
      </c>
      <c r="J49" s="414"/>
      <c r="K49" s="414"/>
      <c r="L49" s="419">
        <f>SUM(L47:L48)</f>
        <v>0</v>
      </c>
      <c r="M49" s="414"/>
      <c r="N49" s="419">
        <f>SUM(N47:N48)</f>
        <v>0</v>
      </c>
      <c r="AT49" s="215"/>
      <c r="AU49" s="215"/>
      <c r="AV49" s="215"/>
      <c r="AW49" s="224"/>
      <c r="AX49" s="224"/>
      <c r="BH49" s="1"/>
    </row>
    <row r="50" spans="1:60" x14ac:dyDescent="0.2">
      <c r="AT50" s="215"/>
      <c r="AU50" s="215"/>
      <c r="AV50" s="215"/>
      <c r="AW50" s="224"/>
      <c r="AX50" s="224"/>
      <c r="BH50" s="1"/>
    </row>
    <row r="51" spans="1:60" x14ac:dyDescent="0.2">
      <c r="A51" s="201"/>
      <c r="B51" s="202"/>
      <c r="C51" s="203" t="s">
        <v>373</v>
      </c>
      <c r="D51" s="319">
        <f>IF(E54=TRUE,0,AB9)</f>
        <v>0</v>
      </c>
      <c r="AT51" s="215"/>
      <c r="AU51" s="215"/>
      <c r="AV51" s="215"/>
      <c r="AW51" s="224"/>
      <c r="AX51" s="224"/>
      <c r="BH51" s="1"/>
    </row>
    <row r="52" spans="1:60" x14ac:dyDescent="0.2">
      <c r="D52" s="214"/>
      <c r="AT52" s="215"/>
      <c r="AU52" s="215"/>
      <c r="AV52" s="215"/>
      <c r="AW52" s="224"/>
      <c r="AX52" s="224"/>
      <c r="BH52" s="1"/>
    </row>
    <row r="53" spans="1:60" x14ac:dyDescent="0.2">
      <c r="A53" s="187"/>
      <c r="B53" s="188"/>
      <c r="C53" s="189" t="s">
        <v>254</v>
      </c>
      <c r="D53" s="314"/>
      <c r="AT53" s="215"/>
      <c r="AU53" s="215"/>
      <c r="AV53" s="215"/>
      <c r="AW53" s="224"/>
      <c r="AX53" s="224"/>
      <c r="BH53" s="1"/>
    </row>
    <row r="54" spans="1:60" x14ac:dyDescent="0.2">
      <c r="A54" s="190"/>
      <c r="B54" s="191"/>
      <c r="C54" s="192" t="s">
        <v>252</v>
      </c>
      <c r="D54" s="320">
        <f>IF(E54=TRUE,0,IF(D51=0,0,(D49*Z18)))</f>
        <v>0</v>
      </c>
      <c r="E54" s="305" t="b">
        <v>0</v>
      </c>
      <c r="H54" s="380"/>
      <c r="I54" s="27" t="str">
        <f>IF(I45=1,BW1,"")</f>
        <v/>
      </c>
      <c r="AT54" s="215"/>
      <c r="AU54" s="215"/>
      <c r="AV54" s="215"/>
      <c r="AW54" s="224"/>
      <c r="AX54" s="224"/>
      <c r="BH54" s="1"/>
    </row>
    <row r="55" spans="1:60" x14ac:dyDescent="0.2">
      <c r="AT55" s="215"/>
      <c r="AU55" s="215"/>
      <c r="AV55" s="215"/>
      <c r="AW55" s="224"/>
      <c r="AX55" s="224"/>
      <c r="BH55" s="1"/>
    </row>
    <row r="56" spans="1:60" x14ac:dyDescent="0.2">
      <c r="A56" s="201"/>
      <c r="B56" s="202"/>
      <c r="C56" s="203" t="s">
        <v>253</v>
      </c>
      <c r="D56" s="321">
        <f>D51+D54</f>
        <v>0</v>
      </c>
      <c r="AT56" s="215"/>
      <c r="AU56" s="215"/>
      <c r="AV56" s="215"/>
      <c r="AW56" s="224"/>
      <c r="AX56" s="224"/>
      <c r="BH56" s="1"/>
    </row>
    <row r="57" spans="1:60" x14ac:dyDescent="0.2">
      <c r="AT57" s="215"/>
      <c r="AU57" s="215"/>
      <c r="AV57" s="215"/>
      <c r="AW57" s="224"/>
      <c r="AX57" s="224"/>
      <c r="BH57" s="1"/>
    </row>
    <row r="58" spans="1:60" x14ac:dyDescent="0.2">
      <c r="AT58" s="215"/>
      <c r="AU58" s="215"/>
      <c r="AV58" s="215"/>
      <c r="AW58" s="224"/>
      <c r="AX58" s="224"/>
      <c r="BH58" s="1"/>
    </row>
    <row r="59" spans="1:60" x14ac:dyDescent="0.2">
      <c r="AT59" s="215"/>
      <c r="AU59" s="215"/>
      <c r="AV59" s="215"/>
      <c r="AW59" s="224"/>
      <c r="AX59" s="224"/>
      <c r="BH59" s="1"/>
    </row>
    <row r="60" spans="1:60" x14ac:dyDescent="0.2">
      <c r="A60" s="581" t="s">
        <v>292</v>
      </c>
      <c r="B60" s="582"/>
      <c r="C60" s="583"/>
      <c r="AT60" s="215"/>
      <c r="AU60" s="215"/>
      <c r="AV60" s="215"/>
      <c r="AW60" s="224"/>
      <c r="AX60" s="224"/>
      <c r="BH60" s="1"/>
    </row>
    <row r="61" spans="1:60" x14ac:dyDescent="0.2">
      <c r="AT61" s="215"/>
      <c r="AU61" s="215"/>
      <c r="AV61" s="215"/>
      <c r="AW61" s="224"/>
      <c r="AX61" s="224"/>
      <c r="BH61" s="1"/>
    </row>
    <row r="62" spans="1:60" x14ac:dyDescent="0.2">
      <c r="A62" t="s">
        <v>339</v>
      </c>
      <c r="AT62" s="215"/>
      <c r="AU62" s="215"/>
      <c r="AV62" s="215"/>
      <c r="AW62" s="224"/>
      <c r="AX62" s="224"/>
      <c r="BH62" s="1"/>
    </row>
    <row r="63" spans="1:60" x14ac:dyDescent="0.2">
      <c r="A63" t="s">
        <v>323</v>
      </c>
      <c r="C63" s="223">
        <f>+D7</f>
        <v>0</v>
      </c>
      <c r="AT63" s="215"/>
      <c r="AU63" s="215"/>
      <c r="AV63" s="215"/>
      <c r="AW63" s="224"/>
      <c r="AX63" s="224"/>
      <c r="BH63" s="1"/>
    </row>
    <row r="64" spans="1:60" x14ac:dyDescent="0.2">
      <c r="AT64" s="215"/>
      <c r="AU64" s="215"/>
      <c r="AV64" s="215"/>
      <c r="AW64" s="224"/>
      <c r="AX64" s="224"/>
      <c r="BH64" s="1"/>
    </row>
    <row r="65" spans="1:60" x14ac:dyDescent="0.2">
      <c r="A65" t="s">
        <v>138</v>
      </c>
      <c r="C65" s="218">
        <v>0.16</v>
      </c>
      <c r="AT65" s="215"/>
      <c r="AU65" s="215"/>
      <c r="AV65" s="215"/>
      <c r="AW65" s="224"/>
      <c r="AX65" s="224"/>
      <c r="BH65" s="1"/>
    </row>
    <row r="66" spans="1:60" x14ac:dyDescent="0.2">
      <c r="AT66" s="215"/>
      <c r="AU66" s="215"/>
      <c r="AV66" s="215"/>
      <c r="AW66" s="224"/>
      <c r="AX66" s="224"/>
      <c r="BH66" s="1"/>
    </row>
    <row r="67" spans="1:60" x14ac:dyDescent="0.2">
      <c r="B67" s="118" t="s">
        <v>340</v>
      </c>
      <c r="C67" s="78">
        <f>ROUND(C63*C65,2)</f>
        <v>0</v>
      </c>
      <c r="AT67" s="215"/>
      <c r="AU67" s="215"/>
      <c r="AV67" s="215"/>
      <c r="AW67" s="224"/>
      <c r="AX67" s="224"/>
      <c r="BH67" s="1"/>
    </row>
    <row r="68" spans="1:60" x14ac:dyDescent="0.2">
      <c r="AT68" s="215"/>
      <c r="AU68" s="215"/>
      <c r="AV68" s="215"/>
      <c r="AW68" s="224"/>
      <c r="AX68" s="224"/>
      <c r="BH68" s="1"/>
    </row>
    <row r="69" spans="1:60" x14ac:dyDescent="0.2">
      <c r="AT69" s="215"/>
      <c r="AU69" s="215"/>
      <c r="AV69" s="215"/>
      <c r="AW69" s="224"/>
      <c r="AX69" s="224"/>
      <c r="BH69" s="1"/>
    </row>
    <row r="70" spans="1:60" x14ac:dyDescent="0.2">
      <c r="AT70" s="215"/>
      <c r="AU70" s="215"/>
      <c r="AV70" s="215"/>
      <c r="AW70" s="224"/>
      <c r="AX70" s="224"/>
      <c r="BH70" s="1"/>
    </row>
    <row r="71" spans="1:60" x14ac:dyDescent="0.2">
      <c r="AT71" s="215"/>
      <c r="AU71" s="215"/>
      <c r="AV71" s="215"/>
      <c r="AW71" s="224"/>
      <c r="AX71" s="224"/>
      <c r="BH71" s="1"/>
    </row>
    <row r="72" spans="1:60" x14ac:dyDescent="0.2">
      <c r="AT72" s="215"/>
      <c r="AU72" s="215"/>
      <c r="AV72" s="215"/>
      <c r="AW72" s="224"/>
      <c r="AX72" s="224"/>
      <c r="BH72" s="1"/>
    </row>
    <row r="73" spans="1:60" x14ac:dyDescent="0.2">
      <c r="AT73" s="215"/>
      <c r="AU73" s="215"/>
      <c r="AV73" s="215"/>
      <c r="AW73" s="224"/>
      <c r="AX73" s="224"/>
      <c r="BH73" s="1"/>
    </row>
    <row r="74" spans="1:60" x14ac:dyDescent="0.2">
      <c r="AT74" s="215"/>
      <c r="AU74" s="215"/>
      <c r="AV74" s="215"/>
      <c r="AW74" s="224"/>
      <c r="AX74" s="224"/>
      <c r="BH74" s="1"/>
    </row>
    <row r="75" spans="1:60" x14ac:dyDescent="0.2">
      <c r="AT75" s="215"/>
      <c r="AU75" s="215"/>
      <c r="AV75" s="215"/>
      <c r="AW75" s="224"/>
      <c r="AX75" s="224"/>
      <c r="BH75" s="1"/>
    </row>
    <row r="76" spans="1:60" x14ac:dyDescent="0.2">
      <c r="AT76" s="215"/>
      <c r="AU76" s="215"/>
      <c r="AV76" s="215"/>
      <c r="AW76" s="224"/>
      <c r="AX76" s="224"/>
      <c r="BH76" s="1"/>
    </row>
    <row r="77" spans="1:60" x14ac:dyDescent="0.2">
      <c r="AT77" s="215"/>
      <c r="AU77" s="215"/>
      <c r="AV77" s="215"/>
      <c r="AW77" s="224"/>
      <c r="AX77" s="224"/>
      <c r="BH77" s="1"/>
    </row>
    <row r="78" spans="1:60" x14ac:dyDescent="0.2">
      <c r="AT78" s="215"/>
      <c r="AU78" s="215"/>
      <c r="AV78" s="215"/>
      <c r="AW78" s="224"/>
      <c r="AX78" s="224"/>
      <c r="BH78" s="1"/>
    </row>
    <row r="79" spans="1:60" x14ac:dyDescent="0.2">
      <c r="AT79" s="215"/>
      <c r="AU79" s="215"/>
      <c r="AV79" s="215"/>
      <c r="AW79" s="224"/>
      <c r="AX79" s="224"/>
      <c r="BH79" s="1"/>
    </row>
    <row r="80" spans="1:60" x14ac:dyDescent="0.2">
      <c r="AT80" s="215"/>
      <c r="AU80" s="215"/>
      <c r="AV80" s="215"/>
      <c r="AW80" s="224"/>
      <c r="AX80" s="224"/>
      <c r="BH80" s="1"/>
    </row>
    <row r="81" spans="46:60" x14ac:dyDescent="0.2">
      <c r="AT81" s="215"/>
      <c r="AU81" s="215"/>
      <c r="AV81" s="215"/>
      <c r="AW81" s="224"/>
      <c r="AX81" s="224"/>
      <c r="BH81" s="1"/>
    </row>
    <row r="82" spans="46:60" x14ac:dyDescent="0.2">
      <c r="AT82" s="215"/>
      <c r="AU82" s="215"/>
      <c r="AV82" s="215"/>
      <c r="AW82" s="224"/>
      <c r="AX82" s="224"/>
      <c r="BH82" s="1"/>
    </row>
    <row r="83" spans="46:60" x14ac:dyDescent="0.2">
      <c r="AT83" s="215"/>
      <c r="AU83" s="215"/>
      <c r="AV83" s="215"/>
      <c r="AW83" s="224"/>
      <c r="AX83" s="224"/>
      <c r="BH83" s="1"/>
    </row>
    <row r="84" spans="46:60" x14ac:dyDescent="0.2">
      <c r="AT84" s="215"/>
      <c r="AU84" s="215"/>
      <c r="AV84" s="215"/>
      <c r="AW84" s="224"/>
      <c r="AX84" s="224"/>
      <c r="BH84" s="1"/>
    </row>
    <row r="85" spans="46:60" x14ac:dyDescent="0.2">
      <c r="AT85" s="215"/>
      <c r="AU85" s="215"/>
      <c r="AV85" s="215"/>
      <c r="AW85" s="224"/>
      <c r="AX85" s="224"/>
      <c r="BH85" s="1"/>
    </row>
    <row r="86" spans="46:60" x14ac:dyDescent="0.2">
      <c r="AT86" s="215"/>
      <c r="AU86" s="215"/>
      <c r="AV86" s="215"/>
      <c r="AW86" s="224"/>
      <c r="AX86" s="224"/>
      <c r="BH86" s="1"/>
    </row>
    <row r="87" spans="46:60" x14ac:dyDescent="0.2">
      <c r="AT87" s="215"/>
      <c r="AU87" s="215"/>
      <c r="AV87" s="215"/>
      <c r="AW87" s="224"/>
      <c r="AX87" s="224"/>
      <c r="BH87" s="1"/>
    </row>
    <row r="88" spans="46:60" x14ac:dyDescent="0.2">
      <c r="AT88" s="215"/>
      <c r="AU88" s="215"/>
      <c r="AV88" s="215"/>
      <c r="AW88" s="224"/>
      <c r="AX88" s="224"/>
      <c r="BH88" s="1"/>
    </row>
    <row r="89" spans="46:60" x14ac:dyDescent="0.2">
      <c r="AT89" s="215"/>
      <c r="AU89" s="215"/>
      <c r="AV89" s="215"/>
      <c r="AW89" s="224"/>
      <c r="AX89" s="224"/>
      <c r="BH89" s="1"/>
    </row>
    <row r="90" spans="46:60" x14ac:dyDescent="0.2">
      <c r="AT90" s="215"/>
      <c r="AU90" s="215"/>
      <c r="AV90" s="215"/>
      <c r="AW90" s="224"/>
      <c r="AX90" s="224"/>
      <c r="BH90" s="1"/>
    </row>
    <row r="91" spans="46:60" x14ac:dyDescent="0.2">
      <c r="AT91" s="215"/>
      <c r="AU91" s="215"/>
      <c r="AV91" s="215"/>
      <c r="AW91" s="224"/>
      <c r="AX91" s="224"/>
      <c r="BH91" s="1"/>
    </row>
    <row r="92" spans="46:60" x14ac:dyDescent="0.2">
      <c r="AT92" s="215"/>
      <c r="AU92" s="215"/>
      <c r="AV92" s="215"/>
      <c r="AW92" s="224"/>
      <c r="AX92" s="224"/>
      <c r="BH92" s="1"/>
    </row>
    <row r="93" spans="46:60" x14ac:dyDescent="0.2">
      <c r="AT93" s="215"/>
      <c r="AU93" s="215"/>
      <c r="AV93" s="215"/>
      <c r="AW93" s="224"/>
      <c r="AX93" s="224"/>
      <c r="BH93" s="1"/>
    </row>
    <row r="94" spans="46:60" x14ac:dyDescent="0.2">
      <c r="AT94" s="215"/>
      <c r="AU94" s="215"/>
      <c r="AV94" s="215"/>
      <c r="AW94" s="224"/>
      <c r="AX94" s="224"/>
      <c r="BH94" s="1"/>
    </row>
    <row r="95" spans="46:60" x14ac:dyDescent="0.2">
      <c r="AT95" s="215"/>
      <c r="AU95" s="215"/>
      <c r="AV95" s="215"/>
      <c r="AW95" s="224"/>
      <c r="AX95" s="224"/>
      <c r="BH95" s="1"/>
    </row>
    <row r="96" spans="46:60" x14ac:dyDescent="0.2">
      <c r="AT96" s="215"/>
      <c r="AU96" s="215"/>
      <c r="AV96" s="215"/>
      <c r="AW96" s="224"/>
      <c r="AX96" s="224"/>
      <c r="BH96" s="1"/>
    </row>
    <row r="97" spans="46:60" x14ac:dyDescent="0.2">
      <c r="AT97" s="215"/>
      <c r="AU97" s="215"/>
      <c r="AV97" s="215"/>
      <c r="AW97" s="224"/>
      <c r="AX97" s="224"/>
      <c r="BH97" s="1"/>
    </row>
    <row r="98" spans="46:60" x14ac:dyDescent="0.2">
      <c r="AT98" s="215"/>
      <c r="AU98" s="215"/>
      <c r="AV98" s="215"/>
      <c r="AW98" s="224"/>
      <c r="AX98" s="224"/>
      <c r="BH98" s="1"/>
    </row>
    <row r="99" spans="46:60" x14ac:dyDescent="0.2">
      <c r="AT99" s="215"/>
      <c r="AU99" s="215"/>
      <c r="AV99" s="215"/>
      <c r="AW99" s="224"/>
      <c r="AX99" s="224"/>
      <c r="BH99" s="1"/>
    </row>
    <row r="100" spans="46:60" x14ac:dyDescent="0.2">
      <c r="AT100" s="215"/>
      <c r="AU100" s="215"/>
      <c r="AV100" s="215"/>
      <c r="AW100" s="224"/>
      <c r="AX100" s="224"/>
      <c r="BH100" s="1"/>
    </row>
    <row r="101" spans="46:60" x14ac:dyDescent="0.2">
      <c r="AT101" s="215"/>
      <c r="AU101" s="215"/>
      <c r="AV101" s="215"/>
      <c r="AW101" s="224"/>
      <c r="AX101" s="224"/>
      <c r="BH101" s="1"/>
    </row>
    <row r="102" spans="46:60" x14ac:dyDescent="0.2">
      <c r="AT102" s="215"/>
      <c r="AU102" s="215"/>
      <c r="AV102" s="215"/>
      <c r="AW102" s="224"/>
      <c r="AX102" s="224"/>
      <c r="BH102" s="1"/>
    </row>
    <row r="103" spans="46:60" x14ac:dyDescent="0.2">
      <c r="AT103" s="215"/>
      <c r="AU103" s="215"/>
      <c r="AV103" s="215"/>
      <c r="AW103" s="224"/>
      <c r="AX103" s="224"/>
      <c r="BH103" s="1"/>
    </row>
    <row r="104" spans="46:60" x14ac:dyDescent="0.2">
      <c r="AT104" s="215"/>
      <c r="AU104" s="215"/>
      <c r="AV104" s="215"/>
      <c r="AW104" s="224"/>
      <c r="AX104" s="224"/>
      <c r="BH104" s="1"/>
    </row>
    <row r="105" spans="46:60" x14ac:dyDescent="0.2">
      <c r="AT105" s="215"/>
      <c r="AU105" s="215"/>
      <c r="AV105" s="215"/>
      <c r="AW105" s="224"/>
      <c r="AX105" s="224"/>
      <c r="BH105" s="1"/>
    </row>
    <row r="106" spans="46:60" x14ac:dyDescent="0.2">
      <c r="AT106" s="215"/>
      <c r="AU106" s="215"/>
      <c r="AV106" s="215"/>
      <c r="AW106" s="224"/>
      <c r="AX106" s="224"/>
      <c r="BH106" s="1"/>
    </row>
    <row r="107" spans="46:60" x14ac:dyDescent="0.2">
      <c r="AT107" s="215"/>
      <c r="AU107" s="215"/>
      <c r="AV107" s="215"/>
      <c r="AW107" s="224"/>
      <c r="AX107" s="224"/>
      <c r="BH107" s="1"/>
    </row>
    <row r="108" spans="46:60" x14ac:dyDescent="0.2">
      <c r="AT108" s="215"/>
      <c r="AU108" s="215"/>
      <c r="AV108" s="215"/>
      <c r="AW108" s="224"/>
      <c r="AX108" s="224"/>
      <c r="BH108" s="1"/>
    </row>
    <row r="109" spans="46:60" x14ac:dyDescent="0.2">
      <c r="AT109" s="215"/>
      <c r="AU109" s="215"/>
      <c r="AV109" s="215"/>
      <c r="AW109" s="224"/>
      <c r="AX109" s="224"/>
      <c r="BH109" s="1"/>
    </row>
    <row r="110" spans="46:60" x14ac:dyDescent="0.2">
      <c r="AT110" s="215"/>
      <c r="AU110" s="215"/>
      <c r="AV110" s="215"/>
      <c r="AW110" s="224"/>
      <c r="AX110" s="224"/>
      <c r="BH110" s="1"/>
    </row>
    <row r="111" spans="46:60" x14ac:dyDescent="0.2">
      <c r="AT111" s="215"/>
      <c r="AU111" s="215"/>
      <c r="AV111" s="215"/>
      <c r="AW111" s="224"/>
      <c r="AX111" s="224"/>
      <c r="BH111" s="1"/>
    </row>
    <row r="112" spans="46:60" x14ac:dyDescent="0.2">
      <c r="AT112" s="215"/>
      <c r="AU112" s="215"/>
      <c r="AV112" s="215"/>
      <c r="AW112" s="224"/>
      <c r="AX112" s="224"/>
      <c r="BH112" s="1"/>
    </row>
    <row r="113" spans="46:60" x14ac:dyDescent="0.2">
      <c r="AT113" s="215"/>
      <c r="AU113" s="215"/>
      <c r="AV113" s="215"/>
      <c r="AW113" s="224"/>
      <c r="AX113" s="224"/>
      <c r="BH113" s="1"/>
    </row>
    <row r="114" spans="46:60" x14ac:dyDescent="0.2">
      <c r="AT114" s="215"/>
      <c r="AU114" s="215"/>
      <c r="AV114" s="215"/>
      <c r="AW114" s="224"/>
      <c r="AX114" s="224"/>
      <c r="BH114" s="1"/>
    </row>
    <row r="115" spans="46:60" x14ac:dyDescent="0.2">
      <c r="AT115" s="215"/>
      <c r="AU115" s="215"/>
      <c r="AV115" s="215"/>
      <c r="AW115" s="224"/>
      <c r="AX115" s="224"/>
      <c r="BH115" s="1"/>
    </row>
    <row r="116" spans="46:60" x14ac:dyDescent="0.2">
      <c r="AT116" s="215"/>
      <c r="AU116" s="215"/>
      <c r="AV116" s="215"/>
      <c r="AW116" s="224"/>
      <c r="AX116" s="224"/>
      <c r="BH116" s="1"/>
    </row>
    <row r="117" spans="46:60" x14ac:dyDescent="0.2">
      <c r="AT117" s="215"/>
      <c r="AU117" s="215"/>
      <c r="AV117" s="215"/>
      <c r="AW117" s="224"/>
      <c r="AX117" s="224"/>
      <c r="BH117" s="1"/>
    </row>
    <row r="118" spans="46:60" x14ac:dyDescent="0.2">
      <c r="AT118" s="215"/>
      <c r="AU118" s="215"/>
      <c r="AV118" s="215"/>
      <c r="AW118" s="224"/>
      <c r="AX118" s="224"/>
      <c r="BH118" s="1"/>
    </row>
    <row r="119" spans="46:60" x14ac:dyDescent="0.2">
      <c r="AT119" s="215"/>
      <c r="AU119" s="215"/>
      <c r="AV119" s="215"/>
      <c r="AW119" s="224"/>
      <c r="AX119" s="224"/>
      <c r="BH119" s="1"/>
    </row>
    <row r="120" spans="46:60" x14ac:dyDescent="0.2">
      <c r="AT120" s="215"/>
      <c r="AU120" s="215"/>
      <c r="AV120" s="215"/>
      <c r="AW120" s="224"/>
      <c r="AX120" s="224"/>
      <c r="BH120" s="1"/>
    </row>
    <row r="121" spans="46:60" x14ac:dyDescent="0.2">
      <c r="AT121" s="215"/>
      <c r="AU121" s="215"/>
      <c r="AV121" s="215"/>
      <c r="AW121" s="224"/>
      <c r="AX121" s="224"/>
      <c r="BH121" s="1"/>
    </row>
    <row r="122" spans="46:60" x14ac:dyDescent="0.2">
      <c r="AT122" s="215"/>
      <c r="AU122" s="215"/>
      <c r="AV122" s="215"/>
      <c r="AW122" s="224"/>
      <c r="AX122" s="224"/>
      <c r="BH122" s="1"/>
    </row>
    <row r="123" spans="46:60" x14ac:dyDescent="0.2">
      <c r="AT123" s="215"/>
      <c r="AU123" s="215"/>
      <c r="AV123" s="215"/>
      <c r="AW123" s="224"/>
      <c r="AX123" s="224"/>
      <c r="BH123" s="1"/>
    </row>
    <row r="124" spans="46:60" x14ac:dyDescent="0.2">
      <c r="AT124" s="215"/>
      <c r="AU124" s="215"/>
      <c r="AV124" s="215"/>
      <c r="AW124" s="224"/>
      <c r="AX124" s="224"/>
      <c r="BH124" s="1"/>
    </row>
    <row r="125" spans="46:60" x14ac:dyDescent="0.2">
      <c r="AT125" s="215"/>
      <c r="AU125" s="215"/>
      <c r="AV125" s="215"/>
      <c r="AW125" s="224"/>
      <c r="AX125" s="224"/>
      <c r="BH125" s="1"/>
    </row>
    <row r="126" spans="46:60" x14ac:dyDescent="0.2">
      <c r="AT126" s="215"/>
      <c r="AU126" s="215"/>
      <c r="AV126" s="215"/>
      <c r="AW126" s="224"/>
      <c r="AX126" s="224"/>
      <c r="BH126" s="1"/>
    </row>
    <row r="127" spans="46:60" x14ac:dyDescent="0.2">
      <c r="AT127" s="215"/>
      <c r="AU127" s="215"/>
      <c r="AV127" s="215"/>
      <c r="AW127" s="224"/>
      <c r="AX127" s="224"/>
      <c r="BH127" s="1"/>
    </row>
    <row r="128" spans="46:60" x14ac:dyDescent="0.2">
      <c r="AT128" s="215"/>
      <c r="AU128" s="215"/>
      <c r="AV128" s="215"/>
      <c r="AW128" s="224"/>
      <c r="AX128" s="224"/>
      <c r="BH128" s="1"/>
    </row>
    <row r="129" spans="46:60" x14ac:dyDescent="0.2">
      <c r="AT129" s="215"/>
      <c r="AU129" s="215"/>
      <c r="AV129" s="215"/>
      <c r="AW129" s="224"/>
      <c r="AX129" s="224"/>
      <c r="BH129" s="1"/>
    </row>
    <row r="130" spans="46:60" x14ac:dyDescent="0.2">
      <c r="AT130" s="215"/>
      <c r="AU130" s="215"/>
      <c r="AV130" s="215"/>
      <c r="AW130" s="224"/>
      <c r="AX130" s="224"/>
      <c r="BH130" s="1"/>
    </row>
    <row r="131" spans="46:60" x14ac:dyDescent="0.2">
      <c r="AT131" s="215"/>
      <c r="AU131" s="215"/>
      <c r="AV131" s="215"/>
      <c r="AW131" s="224"/>
      <c r="AX131" s="224"/>
      <c r="BH131" s="1"/>
    </row>
    <row r="132" spans="46:60" x14ac:dyDescent="0.2">
      <c r="AT132" s="215"/>
      <c r="AU132" s="215"/>
      <c r="AV132" s="215"/>
      <c r="AW132" s="224"/>
      <c r="AX132" s="224"/>
      <c r="BH132" s="1"/>
    </row>
    <row r="133" spans="46:60" x14ac:dyDescent="0.2">
      <c r="AT133" s="215"/>
      <c r="AU133" s="215"/>
      <c r="AV133" s="215"/>
      <c r="AW133" s="224"/>
      <c r="AX133" s="224"/>
      <c r="BH133" s="1"/>
    </row>
    <row r="134" spans="46:60" x14ac:dyDescent="0.2">
      <c r="AT134" s="215"/>
      <c r="AU134" s="215"/>
      <c r="AV134" s="215"/>
      <c r="AW134" s="224"/>
      <c r="AX134" s="224"/>
      <c r="BH134" s="1"/>
    </row>
    <row r="135" spans="46:60" x14ac:dyDescent="0.2">
      <c r="AT135" s="215"/>
      <c r="AU135" s="215"/>
      <c r="AV135" s="215"/>
      <c r="AW135" s="224"/>
      <c r="AX135" s="224"/>
      <c r="BH135" s="1"/>
    </row>
    <row r="136" spans="46:60" x14ac:dyDescent="0.2">
      <c r="AT136" s="215"/>
      <c r="AU136" s="215"/>
      <c r="AV136" s="215"/>
      <c r="AW136" s="224"/>
      <c r="AX136" s="224"/>
      <c r="BH136" s="1"/>
    </row>
    <row r="137" spans="46:60" x14ac:dyDescent="0.2">
      <c r="AT137" s="215"/>
      <c r="AU137" s="215"/>
      <c r="AV137" s="215"/>
      <c r="AW137" s="224"/>
      <c r="AX137" s="224"/>
      <c r="BH137" s="1"/>
    </row>
    <row r="138" spans="46:60" x14ac:dyDescent="0.2">
      <c r="AT138" s="215"/>
      <c r="AU138" s="215"/>
      <c r="AV138" s="215"/>
      <c r="AW138" s="224"/>
      <c r="AX138" s="224"/>
      <c r="BH138" s="1"/>
    </row>
    <row r="139" spans="46:60" x14ac:dyDescent="0.2">
      <c r="AT139" s="215"/>
      <c r="AU139" s="215"/>
      <c r="AV139" s="215"/>
      <c r="AW139" s="224"/>
      <c r="AX139" s="224"/>
      <c r="BH139" s="1"/>
    </row>
    <row r="140" spans="46:60" x14ac:dyDescent="0.2">
      <c r="AT140" s="215"/>
      <c r="AU140" s="215"/>
      <c r="AV140" s="215"/>
      <c r="AW140" s="224"/>
      <c r="AX140" s="224"/>
      <c r="BH140" s="1"/>
    </row>
    <row r="141" spans="46:60" x14ac:dyDescent="0.2">
      <c r="AT141" s="215"/>
      <c r="AU141" s="215"/>
      <c r="AV141" s="215"/>
      <c r="AW141" s="224"/>
      <c r="AX141" s="224"/>
      <c r="BH141" s="1"/>
    </row>
    <row r="142" spans="46:60" x14ac:dyDescent="0.2">
      <c r="AT142" s="215"/>
      <c r="AU142" s="215"/>
      <c r="AV142" s="215"/>
      <c r="AW142" s="224"/>
      <c r="AX142" s="224"/>
      <c r="BH142" s="1"/>
    </row>
    <row r="143" spans="46:60" x14ac:dyDescent="0.2">
      <c r="AT143" s="215"/>
      <c r="AU143" s="215"/>
      <c r="AV143" s="215"/>
      <c r="AW143" s="224"/>
      <c r="AX143" s="224"/>
      <c r="BH143" s="1"/>
    </row>
    <row r="144" spans="46:60" x14ac:dyDescent="0.2">
      <c r="AT144" s="215"/>
      <c r="AU144" s="215"/>
      <c r="AV144" s="215"/>
      <c r="AW144" s="224"/>
      <c r="AX144" s="224"/>
      <c r="BH144" s="1"/>
    </row>
    <row r="145" spans="46:60" x14ac:dyDescent="0.2">
      <c r="AT145" s="215"/>
      <c r="AU145" s="215"/>
      <c r="AV145" s="215"/>
      <c r="AW145" s="224"/>
      <c r="AX145" s="224"/>
      <c r="BH145" s="1"/>
    </row>
    <row r="146" spans="46:60" x14ac:dyDescent="0.2">
      <c r="AT146" s="215"/>
      <c r="AU146" s="215"/>
      <c r="AV146" s="215"/>
      <c r="AW146" s="224"/>
      <c r="AX146" s="224"/>
      <c r="BH146" s="1"/>
    </row>
    <row r="147" spans="46:60" x14ac:dyDescent="0.2">
      <c r="AT147" s="215"/>
      <c r="AU147" s="215"/>
      <c r="AV147" s="215"/>
      <c r="AW147" s="224"/>
      <c r="AX147" s="224"/>
      <c r="BH147" s="1"/>
    </row>
    <row r="148" spans="46:60" x14ac:dyDescent="0.2">
      <c r="AT148" s="215"/>
      <c r="AU148" s="215"/>
      <c r="AV148" s="215"/>
      <c r="AW148" s="224"/>
      <c r="AX148" s="224"/>
      <c r="BH148" s="1"/>
    </row>
    <row r="149" spans="46:60" x14ac:dyDescent="0.2">
      <c r="AT149" s="215"/>
      <c r="AU149" s="215"/>
      <c r="AV149" s="215"/>
      <c r="AW149" s="224"/>
      <c r="AX149" s="224"/>
      <c r="BH149" s="1"/>
    </row>
    <row r="150" spans="46:60" x14ac:dyDescent="0.2">
      <c r="AT150" s="215"/>
      <c r="AU150" s="215"/>
      <c r="AV150" s="215"/>
      <c r="AW150" s="224"/>
      <c r="AX150" s="224"/>
      <c r="BH150" s="1"/>
    </row>
    <row r="151" spans="46:60" x14ac:dyDescent="0.2">
      <c r="AT151" s="215"/>
      <c r="AU151" s="215"/>
      <c r="AV151" s="215"/>
      <c r="AW151" s="224"/>
      <c r="AX151" s="224"/>
      <c r="BH151" s="1"/>
    </row>
    <row r="152" spans="46:60" x14ac:dyDescent="0.2">
      <c r="AT152" s="215"/>
      <c r="AU152" s="215"/>
      <c r="AV152" s="215"/>
      <c r="AW152" s="224"/>
      <c r="AX152" s="224"/>
      <c r="BH152" s="1"/>
    </row>
    <row r="153" spans="46:60" x14ac:dyDescent="0.2">
      <c r="AT153" s="215"/>
      <c r="AU153" s="215"/>
      <c r="AV153" s="215"/>
      <c r="AW153" s="224"/>
      <c r="AX153" s="224"/>
      <c r="BH153" s="1"/>
    </row>
    <row r="154" spans="46:60" x14ac:dyDescent="0.2">
      <c r="AT154" s="215"/>
      <c r="AU154" s="215"/>
      <c r="AV154" s="215"/>
      <c r="AW154" s="224"/>
      <c r="AX154" s="224"/>
      <c r="BH154" s="1"/>
    </row>
    <row r="155" spans="46:60" x14ac:dyDescent="0.2">
      <c r="AT155" s="215"/>
      <c r="AU155" s="215"/>
      <c r="AV155" s="215"/>
      <c r="AW155" s="224"/>
      <c r="AX155" s="224"/>
      <c r="BH155" s="1"/>
    </row>
    <row r="156" spans="46:60" x14ac:dyDescent="0.2">
      <c r="AT156" s="215"/>
      <c r="AU156" s="215"/>
      <c r="AV156" s="215"/>
      <c r="AW156" s="224"/>
      <c r="AX156" s="224"/>
      <c r="BH156" s="1"/>
    </row>
    <row r="157" spans="46:60" x14ac:dyDescent="0.2">
      <c r="AT157" s="215"/>
      <c r="AU157" s="215"/>
      <c r="AV157" s="215"/>
      <c r="AW157" s="224"/>
      <c r="AX157" s="224"/>
      <c r="BH157" s="1"/>
    </row>
    <row r="158" spans="46:60" x14ac:dyDescent="0.2">
      <c r="AT158" s="215"/>
      <c r="AU158" s="215"/>
      <c r="AV158" s="215"/>
      <c r="AW158" s="224"/>
      <c r="AX158" s="224"/>
      <c r="BH158" s="1"/>
    </row>
    <row r="159" spans="46:60" x14ac:dyDescent="0.2">
      <c r="AT159" s="215"/>
      <c r="AU159" s="215"/>
      <c r="AV159" s="215"/>
      <c r="AW159" s="224"/>
      <c r="AX159" s="224"/>
      <c r="BH159" s="1"/>
    </row>
    <row r="160" spans="46:60" x14ac:dyDescent="0.2">
      <c r="AT160" s="215"/>
      <c r="AU160" s="215"/>
      <c r="AV160" s="215"/>
      <c r="AW160" s="224"/>
      <c r="AX160" s="224"/>
      <c r="BH160" s="1"/>
    </row>
    <row r="161" spans="46:60" x14ac:dyDescent="0.2">
      <c r="AT161" s="215"/>
      <c r="AU161" s="215"/>
      <c r="AV161" s="215"/>
      <c r="AW161" s="224"/>
      <c r="AX161" s="224"/>
      <c r="BH161" s="1"/>
    </row>
    <row r="162" spans="46:60" x14ac:dyDescent="0.2">
      <c r="AT162" s="215"/>
      <c r="AU162" s="215"/>
      <c r="AV162" s="215"/>
      <c r="AW162" s="224"/>
      <c r="AX162" s="224"/>
      <c r="BH162" s="1"/>
    </row>
    <row r="163" spans="46:60" x14ac:dyDescent="0.2">
      <c r="AT163" s="215"/>
      <c r="AU163" s="215"/>
      <c r="AV163" s="215"/>
      <c r="AW163" s="224"/>
      <c r="AX163" s="224"/>
      <c r="BH163" s="1"/>
    </row>
    <row r="164" spans="46:60" x14ac:dyDescent="0.2">
      <c r="AT164" s="215"/>
      <c r="AU164" s="215"/>
      <c r="AV164" s="215"/>
      <c r="AW164" s="224"/>
      <c r="AX164" s="224"/>
      <c r="BH164" s="1"/>
    </row>
    <row r="165" spans="46:60" x14ac:dyDescent="0.2">
      <c r="AT165" s="215"/>
      <c r="AU165" s="215"/>
      <c r="AV165" s="215"/>
      <c r="AW165" s="224"/>
      <c r="AX165" s="224"/>
      <c r="BH165" s="1"/>
    </row>
    <row r="166" spans="46:60" x14ac:dyDescent="0.2">
      <c r="AT166" s="215"/>
      <c r="AU166" s="215"/>
      <c r="AV166" s="215"/>
      <c r="AW166" s="224"/>
      <c r="AX166" s="224"/>
      <c r="BH166" s="1"/>
    </row>
    <row r="167" spans="46:60" x14ac:dyDescent="0.2">
      <c r="AT167" s="215"/>
      <c r="AU167" s="215"/>
      <c r="AV167" s="215"/>
      <c r="AW167" s="224"/>
      <c r="AX167" s="224"/>
      <c r="BH167" s="1"/>
    </row>
    <row r="168" spans="46:60" x14ac:dyDescent="0.2">
      <c r="AT168" s="215"/>
      <c r="AU168" s="215"/>
      <c r="AV168" s="215"/>
      <c r="AW168" s="224"/>
      <c r="AX168" s="224"/>
      <c r="BH168" s="1"/>
    </row>
    <row r="169" spans="46:60" x14ac:dyDescent="0.2">
      <c r="AT169" s="215"/>
      <c r="AU169" s="215"/>
      <c r="AV169" s="215"/>
      <c r="AW169" s="224"/>
      <c r="AX169" s="224"/>
      <c r="BH169" s="1"/>
    </row>
    <row r="170" spans="46:60" x14ac:dyDescent="0.2">
      <c r="AT170" s="215"/>
      <c r="AU170" s="215"/>
      <c r="AV170" s="215"/>
      <c r="AW170" s="224"/>
      <c r="AX170" s="224"/>
      <c r="BH170" s="1"/>
    </row>
    <row r="171" spans="46:60" x14ac:dyDescent="0.2">
      <c r="AT171" s="215"/>
      <c r="AU171" s="215"/>
      <c r="AV171" s="215"/>
      <c r="AW171" s="224"/>
      <c r="AX171" s="224"/>
      <c r="BH171" s="1"/>
    </row>
    <row r="172" spans="46:60" x14ac:dyDescent="0.2">
      <c r="AT172" s="215"/>
      <c r="AU172" s="215"/>
      <c r="AV172" s="215"/>
      <c r="AW172" s="224"/>
      <c r="AX172" s="224"/>
      <c r="BH172" s="1"/>
    </row>
    <row r="173" spans="46:60" x14ac:dyDescent="0.2">
      <c r="AT173" s="215"/>
      <c r="AU173" s="215"/>
      <c r="AV173" s="215"/>
      <c r="AW173" s="224"/>
      <c r="AX173" s="224"/>
      <c r="BH173" s="1"/>
    </row>
    <row r="174" spans="46:60" x14ac:dyDescent="0.2">
      <c r="AT174" s="215"/>
      <c r="AU174" s="215"/>
      <c r="AV174" s="215"/>
      <c r="AW174" s="224"/>
      <c r="AX174" s="224"/>
      <c r="BH174" s="1"/>
    </row>
    <row r="175" spans="46:60" x14ac:dyDescent="0.2">
      <c r="AT175" s="215"/>
      <c r="AU175" s="215"/>
      <c r="AV175" s="215"/>
      <c r="AW175" s="224"/>
      <c r="AX175" s="224"/>
      <c r="BH175" s="1"/>
    </row>
    <row r="176" spans="46:60" x14ac:dyDescent="0.2">
      <c r="AT176" s="215"/>
      <c r="AU176" s="215"/>
      <c r="AV176" s="215"/>
      <c r="AW176" s="224"/>
      <c r="AX176" s="224"/>
      <c r="BH176" s="1"/>
    </row>
    <row r="177" spans="46:60" x14ac:dyDescent="0.2">
      <c r="AT177" s="215"/>
      <c r="AU177" s="215"/>
      <c r="AV177" s="215"/>
      <c r="AW177" s="224"/>
      <c r="AX177" s="224"/>
      <c r="BH177" s="1"/>
    </row>
    <row r="178" spans="46:60" x14ac:dyDescent="0.2">
      <c r="AT178" s="215"/>
      <c r="AU178" s="215"/>
      <c r="AV178" s="215"/>
      <c r="AW178" s="224"/>
      <c r="AX178" s="224"/>
      <c r="BH178" s="1"/>
    </row>
    <row r="179" spans="46:60" x14ac:dyDescent="0.2">
      <c r="AT179" s="215"/>
      <c r="AU179" s="215"/>
      <c r="AV179" s="215"/>
      <c r="AW179" s="224"/>
      <c r="AX179" s="224"/>
      <c r="BH179" s="1"/>
    </row>
    <row r="180" spans="46:60" x14ac:dyDescent="0.2">
      <c r="AT180" s="215"/>
      <c r="AU180" s="215"/>
      <c r="AV180" s="215"/>
      <c r="AW180" s="224"/>
      <c r="AX180" s="224"/>
      <c r="BH180" s="1"/>
    </row>
    <row r="181" spans="46:60" x14ac:dyDescent="0.2">
      <c r="AT181" s="215"/>
      <c r="AU181" s="215"/>
      <c r="AV181" s="215"/>
      <c r="AW181" s="224"/>
      <c r="AX181" s="224"/>
      <c r="BH181" s="1"/>
    </row>
    <row r="182" spans="46:60" x14ac:dyDescent="0.2">
      <c r="AT182" s="215"/>
      <c r="AU182" s="215"/>
      <c r="AV182" s="215"/>
      <c r="AW182" s="224"/>
      <c r="AX182" s="224"/>
      <c r="BH182" s="1"/>
    </row>
    <row r="183" spans="46:60" x14ac:dyDescent="0.2">
      <c r="AT183" s="215"/>
      <c r="AU183" s="215"/>
      <c r="AV183" s="215"/>
      <c r="AW183" s="224"/>
      <c r="AX183" s="224"/>
      <c r="BH183" s="1"/>
    </row>
    <row r="184" spans="46:60" x14ac:dyDescent="0.2">
      <c r="AT184" s="215"/>
      <c r="AU184" s="215"/>
      <c r="AV184" s="215"/>
      <c r="AW184" s="224"/>
      <c r="AX184" s="224"/>
      <c r="BH184" s="1"/>
    </row>
    <row r="185" spans="46:60" x14ac:dyDescent="0.2">
      <c r="AT185" s="215"/>
      <c r="AU185" s="215"/>
      <c r="AV185" s="215"/>
      <c r="AW185" s="224"/>
      <c r="AX185" s="224"/>
      <c r="BH185" s="1"/>
    </row>
    <row r="186" spans="46:60" x14ac:dyDescent="0.2">
      <c r="AT186" s="215"/>
      <c r="AU186" s="215"/>
      <c r="AV186" s="215"/>
      <c r="AW186" s="224"/>
      <c r="AX186" s="224"/>
      <c r="BH186" s="1"/>
    </row>
    <row r="187" spans="46:60" x14ac:dyDescent="0.2">
      <c r="AT187" s="215"/>
      <c r="AU187" s="215"/>
      <c r="AV187" s="215"/>
      <c r="AW187" s="224"/>
      <c r="AX187" s="224"/>
      <c r="BH187" s="1"/>
    </row>
    <row r="188" spans="46:60" x14ac:dyDescent="0.2">
      <c r="AT188" s="215"/>
      <c r="AU188" s="215"/>
      <c r="AV188" s="215"/>
      <c r="AW188" s="224"/>
      <c r="AX188" s="224"/>
      <c r="BH188" s="1"/>
    </row>
    <row r="189" spans="46:60" x14ac:dyDescent="0.2">
      <c r="AT189" s="215"/>
      <c r="AU189" s="215"/>
      <c r="AV189" s="215"/>
      <c r="AW189" s="224"/>
      <c r="AX189" s="224"/>
      <c r="BH189" s="1"/>
    </row>
    <row r="190" spans="46:60" x14ac:dyDescent="0.2">
      <c r="AT190" s="215"/>
      <c r="AU190" s="215"/>
      <c r="AV190" s="215"/>
      <c r="AW190" s="224"/>
      <c r="AX190" s="224"/>
      <c r="BH190" s="1"/>
    </row>
    <row r="191" spans="46:60" x14ac:dyDescent="0.2">
      <c r="AT191" s="215"/>
      <c r="AU191" s="215"/>
      <c r="AV191" s="215"/>
      <c r="AW191" s="224"/>
      <c r="AX191" s="224"/>
      <c r="BH191" s="1"/>
    </row>
    <row r="192" spans="46:60" x14ac:dyDescent="0.2">
      <c r="AT192" s="215"/>
      <c r="AU192" s="215"/>
      <c r="AV192" s="215"/>
      <c r="AW192" s="224"/>
      <c r="AX192" s="224"/>
      <c r="BH192" s="1"/>
    </row>
    <row r="193" spans="46:60" x14ac:dyDescent="0.2">
      <c r="AT193" s="215"/>
      <c r="AU193" s="215"/>
      <c r="AV193" s="215"/>
      <c r="AW193" s="224"/>
      <c r="AX193" s="224"/>
      <c r="BH193" s="1"/>
    </row>
    <row r="194" spans="46:60" x14ac:dyDescent="0.2">
      <c r="AT194" s="215"/>
      <c r="AU194" s="215"/>
      <c r="AV194" s="215"/>
      <c r="AW194" s="224"/>
      <c r="AX194" s="224"/>
      <c r="BH194" s="1"/>
    </row>
    <row r="195" spans="46:60" x14ac:dyDescent="0.2">
      <c r="AT195" s="215"/>
      <c r="AU195" s="215"/>
      <c r="AV195" s="215"/>
      <c r="AW195" s="224"/>
      <c r="AX195" s="224"/>
      <c r="BH195" s="1"/>
    </row>
    <row r="196" spans="46:60" x14ac:dyDescent="0.2">
      <c r="AT196" s="215"/>
      <c r="AU196" s="215"/>
      <c r="AV196" s="215"/>
      <c r="AW196" s="224"/>
      <c r="AX196" s="224"/>
      <c r="BH196" s="1"/>
    </row>
    <row r="197" spans="46:60" x14ac:dyDescent="0.2">
      <c r="AT197" s="215"/>
      <c r="AU197" s="215"/>
      <c r="AV197" s="215"/>
      <c r="AW197" s="224"/>
      <c r="AX197" s="224"/>
      <c r="BH197" s="1"/>
    </row>
    <row r="198" spans="46:60" x14ac:dyDescent="0.2">
      <c r="AT198" s="215"/>
      <c r="AU198" s="215"/>
      <c r="AV198" s="215"/>
      <c r="AW198" s="224"/>
      <c r="AX198" s="224"/>
      <c r="BH198" s="1"/>
    </row>
    <row r="199" spans="46:60" x14ac:dyDescent="0.2">
      <c r="AT199" s="215"/>
      <c r="AU199" s="215"/>
      <c r="AV199" s="215"/>
      <c r="AW199" s="224"/>
      <c r="AX199" s="224"/>
      <c r="BH199" s="1"/>
    </row>
    <row r="200" spans="46:60" x14ac:dyDescent="0.2">
      <c r="AT200" s="215"/>
      <c r="AU200" s="215"/>
      <c r="AV200" s="215"/>
      <c r="AW200" s="224"/>
      <c r="AX200" s="224"/>
      <c r="BH200" s="1"/>
    </row>
    <row r="201" spans="46:60" x14ac:dyDescent="0.2">
      <c r="AT201" s="215"/>
      <c r="AU201" s="215"/>
      <c r="AV201" s="215"/>
      <c r="AW201" s="224"/>
      <c r="AX201" s="224"/>
      <c r="BH201" s="1"/>
    </row>
    <row r="202" spans="46:60" x14ac:dyDescent="0.2">
      <c r="AT202" s="215"/>
      <c r="AU202" s="215"/>
      <c r="AV202" s="215"/>
      <c r="AW202" s="224"/>
      <c r="AX202" s="224"/>
      <c r="BH202" s="1"/>
    </row>
    <row r="203" spans="46:60" x14ac:dyDescent="0.2">
      <c r="AT203" s="215"/>
      <c r="AU203" s="215"/>
      <c r="AV203" s="215"/>
      <c r="AW203" s="224"/>
      <c r="AX203" s="224"/>
      <c r="BH203" s="1"/>
    </row>
    <row r="204" spans="46:60" x14ac:dyDescent="0.2">
      <c r="AT204" s="215"/>
      <c r="AU204" s="215"/>
      <c r="AV204" s="215"/>
      <c r="AW204" s="224"/>
      <c r="AX204" s="224"/>
      <c r="BH204" s="1"/>
    </row>
    <row r="205" spans="46:60" x14ac:dyDescent="0.2">
      <c r="AT205" s="215"/>
      <c r="AU205" s="215"/>
      <c r="AV205" s="215"/>
      <c r="AW205" s="224"/>
      <c r="AX205" s="224"/>
      <c r="BH205" s="1"/>
    </row>
    <row r="206" spans="46:60" x14ac:dyDescent="0.2">
      <c r="AT206" s="215"/>
      <c r="AU206" s="215"/>
      <c r="AV206" s="215"/>
      <c r="AW206" s="224"/>
      <c r="AX206" s="224"/>
      <c r="BH206" s="1"/>
    </row>
    <row r="207" spans="46:60" x14ac:dyDescent="0.2">
      <c r="AT207" s="215"/>
      <c r="AU207" s="215"/>
      <c r="AV207" s="215"/>
      <c r="AW207" s="224"/>
      <c r="AX207" s="224"/>
      <c r="BH207" s="1"/>
    </row>
    <row r="208" spans="46:60" x14ac:dyDescent="0.2">
      <c r="AT208" s="215"/>
      <c r="AU208" s="215"/>
      <c r="AV208" s="215"/>
      <c r="AW208" s="224"/>
      <c r="AX208" s="224"/>
      <c r="BH208" s="1"/>
    </row>
    <row r="209" spans="46:60" x14ac:dyDescent="0.2">
      <c r="AT209" s="215"/>
      <c r="AU209" s="215"/>
      <c r="AV209" s="215"/>
      <c r="AW209" s="224"/>
      <c r="AX209" s="224"/>
      <c r="BH209" s="1"/>
    </row>
    <row r="210" spans="46:60" x14ac:dyDescent="0.2">
      <c r="AT210" s="215"/>
      <c r="AU210" s="215"/>
      <c r="AV210" s="215"/>
      <c r="AW210" s="224"/>
      <c r="AX210" s="224"/>
      <c r="BH210" s="1"/>
    </row>
    <row r="211" spans="46:60" x14ac:dyDescent="0.2">
      <c r="AT211" s="215"/>
      <c r="AU211" s="215"/>
      <c r="AV211" s="215"/>
      <c r="AW211" s="224"/>
      <c r="AX211" s="224"/>
      <c r="BH211" s="1"/>
    </row>
    <row r="212" spans="46:60" x14ac:dyDescent="0.2">
      <c r="AT212" s="215"/>
      <c r="AU212" s="215"/>
      <c r="AV212" s="215"/>
      <c r="AW212" s="224"/>
      <c r="AX212" s="224"/>
      <c r="BH212" s="1"/>
    </row>
    <row r="213" spans="46:60" x14ac:dyDescent="0.2">
      <c r="AT213" s="215"/>
      <c r="AU213" s="215"/>
      <c r="AV213" s="215"/>
      <c r="AW213" s="224"/>
      <c r="AX213" s="224"/>
      <c r="BH213" s="1"/>
    </row>
    <row r="214" spans="46:60" x14ac:dyDescent="0.2">
      <c r="AT214" s="215"/>
      <c r="AU214" s="215"/>
      <c r="AV214" s="215"/>
      <c r="AW214" s="224"/>
      <c r="AX214" s="224"/>
      <c r="BH214" s="1"/>
    </row>
    <row r="215" spans="46:60" x14ac:dyDescent="0.2">
      <c r="AT215" s="215"/>
      <c r="AU215" s="215"/>
      <c r="AV215" s="215"/>
      <c r="AW215" s="224"/>
      <c r="AX215" s="224"/>
      <c r="BH215" s="1"/>
    </row>
    <row r="216" spans="46:60" x14ac:dyDescent="0.2">
      <c r="AT216" s="215"/>
      <c r="AU216" s="215"/>
      <c r="AV216" s="215"/>
      <c r="AW216" s="224"/>
      <c r="AX216" s="224"/>
      <c r="BH216" s="1"/>
    </row>
    <row r="217" spans="46:60" x14ac:dyDescent="0.2">
      <c r="AT217" s="215"/>
      <c r="AU217" s="215"/>
      <c r="AV217" s="215"/>
      <c r="AW217" s="224"/>
      <c r="AX217" s="224"/>
      <c r="BH217" s="1"/>
    </row>
    <row r="218" spans="46:60" x14ac:dyDescent="0.2">
      <c r="AT218" s="215"/>
      <c r="AU218" s="215"/>
      <c r="AV218" s="215"/>
      <c r="AW218" s="224"/>
      <c r="AX218" s="224"/>
      <c r="BH218" s="1"/>
    </row>
    <row r="219" spans="46:60" x14ac:dyDescent="0.2">
      <c r="AT219" s="215"/>
      <c r="AU219" s="215"/>
      <c r="AV219" s="215"/>
      <c r="AW219" s="224"/>
      <c r="AX219" s="224"/>
      <c r="BH219" s="1"/>
    </row>
    <row r="220" spans="46:60" x14ac:dyDescent="0.2">
      <c r="AT220" s="215"/>
      <c r="AU220" s="215"/>
      <c r="AV220" s="215"/>
      <c r="AW220" s="224"/>
      <c r="AX220" s="224"/>
      <c r="BH220" s="1"/>
    </row>
    <row r="221" spans="46:60" x14ac:dyDescent="0.2">
      <c r="AT221" s="215"/>
      <c r="AU221" s="215"/>
      <c r="AV221" s="215"/>
      <c r="AW221" s="224"/>
      <c r="AX221" s="224"/>
      <c r="BH221" s="1"/>
    </row>
    <row r="222" spans="46:60" x14ac:dyDescent="0.2">
      <c r="AT222" s="215"/>
      <c r="AU222" s="215"/>
      <c r="AV222" s="215"/>
      <c r="AW222" s="224"/>
      <c r="AX222" s="224"/>
      <c r="BH222" s="1"/>
    </row>
    <row r="223" spans="46:60" x14ac:dyDescent="0.2">
      <c r="AT223" s="215"/>
      <c r="AU223" s="215"/>
      <c r="AV223" s="215"/>
      <c r="AW223" s="224"/>
      <c r="AX223" s="224"/>
      <c r="BH223" s="1"/>
    </row>
    <row r="224" spans="46:60" x14ac:dyDescent="0.2">
      <c r="AT224" s="215"/>
      <c r="AU224" s="215"/>
      <c r="AV224" s="215"/>
      <c r="AW224" s="224"/>
      <c r="AX224" s="224"/>
      <c r="BH224" s="1"/>
    </row>
    <row r="225" spans="46:60" x14ac:dyDescent="0.2">
      <c r="AT225" s="215"/>
      <c r="AU225" s="215"/>
      <c r="AV225" s="215"/>
      <c r="AW225" s="224"/>
      <c r="AX225" s="224"/>
      <c r="BH225" s="1"/>
    </row>
    <row r="226" spans="46:60" x14ac:dyDescent="0.2">
      <c r="AT226" s="215"/>
      <c r="AU226" s="215"/>
      <c r="AV226" s="215"/>
      <c r="AW226" s="224"/>
      <c r="AX226" s="224"/>
      <c r="BH226" s="1"/>
    </row>
    <row r="227" spans="46:60" x14ac:dyDescent="0.2">
      <c r="AT227" s="215"/>
      <c r="AU227" s="215"/>
      <c r="AV227" s="215"/>
      <c r="AW227" s="224"/>
      <c r="AX227" s="224"/>
      <c r="BH227" s="1"/>
    </row>
    <row r="228" spans="46:60" x14ac:dyDescent="0.2">
      <c r="AT228" s="215"/>
      <c r="AU228" s="215"/>
      <c r="AV228" s="215"/>
      <c r="AW228" s="224"/>
      <c r="AX228" s="224"/>
      <c r="BH228" s="1"/>
    </row>
    <row r="229" spans="46:60" x14ac:dyDescent="0.2">
      <c r="AT229" s="215"/>
      <c r="AU229" s="215"/>
      <c r="AV229" s="215"/>
      <c r="AW229" s="224"/>
      <c r="AX229" s="224"/>
      <c r="BH229" s="1"/>
    </row>
    <row r="230" spans="46:60" x14ac:dyDescent="0.2">
      <c r="AT230" s="215"/>
      <c r="AU230" s="215"/>
      <c r="AV230" s="215"/>
      <c r="AW230" s="224"/>
      <c r="AX230" s="224"/>
      <c r="BH230" s="1"/>
    </row>
    <row r="231" spans="46:60" x14ac:dyDescent="0.2">
      <c r="AT231" s="215"/>
      <c r="AU231" s="215"/>
      <c r="AV231" s="215"/>
      <c r="AW231" s="224"/>
      <c r="AX231" s="224"/>
      <c r="BH231" s="1"/>
    </row>
    <row r="232" spans="46:60" x14ac:dyDescent="0.2">
      <c r="AT232" s="215"/>
      <c r="AU232" s="215"/>
      <c r="AV232" s="215"/>
      <c r="AW232" s="224"/>
      <c r="AX232" s="224"/>
      <c r="BH232" s="1"/>
    </row>
    <row r="233" spans="46:60" x14ac:dyDescent="0.2">
      <c r="AT233" s="215"/>
      <c r="AU233" s="215"/>
      <c r="AV233" s="215"/>
      <c r="AW233" s="224"/>
      <c r="AX233" s="224"/>
      <c r="BH233" s="1"/>
    </row>
    <row r="234" spans="46:60" x14ac:dyDescent="0.2">
      <c r="AT234" s="215"/>
      <c r="AU234" s="215"/>
      <c r="AV234" s="215"/>
      <c r="AW234" s="224"/>
      <c r="AX234" s="224"/>
      <c r="BH234" s="1"/>
    </row>
    <row r="235" spans="46:60" x14ac:dyDescent="0.2">
      <c r="AT235" s="215"/>
      <c r="AU235" s="215"/>
      <c r="AV235" s="215"/>
      <c r="AW235" s="224"/>
      <c r="AX235" s="224"/>
      <c r="BH235" s="1"/>
    </row>
    <row r="236" spans="46:60" x14ac:dyDescent="0.2">
      <c r="AT236" s="215"/>
      <c r="AU236" s="215"/>
      <c r="AV236" s="215"/>
      <c r="AW236" s="224"/>
      <c r="AX236" s="224"/>
      <c r="BH236" s="1"/>
    </row>
    <row r="237" spans="46:60" x14ac:dyDescent="0.2">
      <c r="AT237" s="215"/>
      <c r="AU237" s="215"/>
      <c r="AV237" s="215"/>
      <c r="AW237" s="224"/>
      <c r="AX237" s="224"/>
      <c r="BH237" s="1"/>
    </row>
    <row r="238" spans="46:60" x14ac:dyDescent="0.2">
      <c r="AT238" s="215"/>
      <c r="AU238" s="215"/>
      <c r="AV238" s="215"/>
      <c r="AW238" s="224"/>
      <c r="AX238" s="224"/>
      <c r="BH238" s="1"/>
    </row>
    <row r="239" spans="46:60" x14ac:dyDescent="0.2">
      <c r="AT239" s="215"/>
      <c r="AU239" s="215"/>
      <c r="AV239" s="215"/>
      <c r="AW239" s="224"/>
      <c r="AX239" s="224"/>
      <c r="BH239" s="1"/>
    </row>
    <row r="240" spans="46:60" x14ac:dyDescent="0.2">
      <c r="AT240" s="215"/>
      <c r="AU240" s="215"/>
      <c r="AV240" s="215"/>
      <c r="AW240" s="224"/>
      <c r="AX240" s="224"/>
      <c r="BH240" s="1"/>
    </row>
    <row r="241" spans="46:60" x14ac:dyDescent="0.2">
      <c r="AT241" s="215"/>
      <c r="AU241" s="215"/>
      <c r="AV241" s="215"/>
      <c r="AW241" s="224"/>
      <c r="AX241" s="224"/>
      <c r="BH241" s="1"/>
    </row>
    <row r="242" spans="46:60" x14ac:dyDescent="0.2">
      <c r="AT242" s="215"/>
      <c r="AU242" s="215"/>
      <c r="AV242" s="215"/>
      <c r="AW242" s="224"/>
      <c r="AX242" s="224"/>
      <c r="BH242" s="1"/>
    </row>
    <row r="243" spans="46:60" x14ac:dyDescent="0.2">
      <c r="AT243" s="215"/>
      <c r="AU243" s="215"/>
      <c r="AV243" s="215"/>
      <c r="AW243" s="224"/>
      <c r="AX243" s="224"/>
      <c r="BH243" s="1"/>
    </row>
    <row r="244" spans="46:60" x14ac:dyDescent="0.2">
      <c r="AT244" s="215"/>
      <c r="AU244" s="215"/>
      <c r="AV244" s="215"/>
      <c r="AW244" s="224"/>
      <c r="AX244" s="224"/>
      <c r="BH244" s="1"/>
    </row>
    <row r="245" spans="46:60" x14ac:dyDescent="0.2">
      <c r="AT245" s="215"/>
      <c r="AU245" s="215"/>
      <c r="AV245" s="215"/>
      <c r="AW245" s="224"/>
      <c r="AX245" s="224"/>
      <c r="BH245" s="1"/>
    </row>
    <row r="246" spans="46:60" x14ac:dyDescent="0.2">
      <c r="AT246" s="215"/>
      <c r="AU246" s="215"/>
      <c r="AV246" s="215"/>
      <c r="AW246" s="224"/>
      <c r="AX246" s="224"/>
      <c r="BH246" s="1"/>
    </row>
    <row r="247" spans="46:60" x14ac:dyDescent="0.2">
      <c r="AT247" s="215"/>
      <c r="AU247" s="215"/>
      <c r="AV247" s="215"/>
      <c r="AW247" s="224"/>
      <c r="AX247" s="224"/>
      <c r="BH247" s="1"/>
    </row>
    <row r="248" spans="46:60" x14ac:dyDescent="0.2">
      <c r="AT248" s="215"/>
      <c r="AU248" s="215"/>
      <c r="AV248" s="215"/>
      <c r="AW248" s="224"/>
      <c r="AX248" s="224"/>
      <c r="BH248" s="1"/>
    </row>
    <row r="249" spans="46:60" x14ac:dyDescent="0.2">
      <c r="AT249" s="215"/>
      <c r="AU249" s="215"/>
      <c r="AV249" s="215"/>
      <c r="AW249" s="224"/>
      <c r="AX249" s="224"/>
      <c r="BH249" s="1"/>
    </row>
    <row r="250" spans="46:60" x14ac:dyDescent="0.2">
      <c r="AT250" s="215"/>
      <c r="AU250" s="215"/>
      <c r="AV250" s="215"/>
      <c r="AW250" s="224"/>
      <c r="AX250" s="224"/>
      <c r="BH250" s="1"/>
    </row>
    <row r="251" spans="46:60" x14ac:dyDescent="0.2">
      <c r="AT251" s="215"/>
      <c r="AU251" s="215"/>
      <c r="AV251" s="215"/>
      <c r="AW251" s="224"/>
      <c r="AX251" s="224"/>
      <c r="BH251" s="1"/>
    </row>
    <row r="252" spans="46:60" x14ac:dyDescent="0.2">
      <c r="AT252" s="215"/>
      <c r="AU252" s="215"/>
      <c r="AV252" s="215"/>
      <c r="AW252" s="224"/>
      <c r="AX252" s="224"/>
      <c r="BH252" s="1"/>
    </row>
    <row r="253" spans="46:60" x14ac:dyDescent="0.2">
      <c r="AT253" s="215"/>
      <c r="AU253" s="215"/>
      <c r="AV253" s="215"/>
      <c r="AW253" s="224"/>
      <c r="AX253" s="224"/>
      <c r="BH253" s="1"/>
    </row>
    <row r="254" spans="46:60" x14ac:dyDescent="0.2">
      <c r="AT254" s="215"/>
      <c r="AU254" s="215"/>
      <c r="AV254" s="215"/>
      <c r="AW254" s="224"/>
      <c r="AX254" s="224"/>
      <c r="BH254" s="1"/>
    </row>
    <row r="255" spans="46:60" x14ac:dyDescent="0.2">
      <c r="AT255" s="215"/>
      <c r="AU255" s="215"/>
      <c r="AV255" s="215"/>
      <c r="AW255" s="224"/>
      <c r="AX255" s="224"/>
      <c r="BH255" s="1"/>
    </row>
    <row r="256" spans="46:60" x14ac:dyDescent="0.2">
      <c r="AT256" s="215"/>
      <c r="AU256" s="215"/>
      <c r="AV256" s="215"/>
      <c r="AW256" s="224"/>
      <c r="AX256" s="224"/>
      <c r="BH256" s="1"/>
    </row>
    <row r="257" spans="46:60" x14ac:dyDescent="0.2">
      <c r="AT257" s="215"/>
      <c r="AU257" s="215"/>
      <c r="AV257" s="215"/>
      <c r="AW257" s="224"/>
      <c r="AX257" s="224"/>
      <c r="BH257" s="1"/>
    </row>
    <row r="258" spans="46:60" x14ac:dyDescent="0.2">
      <c r="AT258" s="215"/>
      <c r="AU258" s="215"/>
      <c r="AV258" s="215"/>
      <c r="AW258" s="224"/>
      <c r="AX258" s="224"/>
      <c r="BH258" s="1"/>
    </row>
    <row r="259" spans="46:60" x14ac:dyDescent="0.2">
      <c r="AT259" s="215"/>
      <c r="AU259" s="215"/>
      <c r="AV259" s="215"/>
      <c r="AW259" s="224"/>
      <c r="AX259" s="224"/>
      <c r="BH259" s="1"/>
    </row>
    <row r="260" spans="46:60" x14ac:dyDescent="0.2">
      <c r="AT260" s="215"/>
      <c r="AU260" s="215"/>
      <c r="AV260" s="215"/>
      <c r="AW260" s="224"/>
      <c r="AX260" s="224"/>
      <c r="BH260" s="1"/>
    </row>
    <row r="261" spans="46:60" x14ac:dyDescent="0.2">
      <c r="AT261" s="215"/>
      <c r="AU261" s="215"/>
      <c r="AV261" s="215"/>
      <c r="AW261" s="224"/>
      <c r="AX261" s="224"/>
      <c r="BH261" s="1"/>
    </row>
    <row r="262" spans="46:60" x14ac:dyDescent="0.2">
      <c r="AT262" s="215"/>
      <c r="AU262" s="215"/>
      <c r="AV262" s="215"/>
      <c r="AW262" s="224"/>
      <c r="AX262" s="224"/>
      <c r="BH262" s="1"/>
    </row>
    <row r="263" spans="46:60" x14ac:dyDescent="0.2">
      <c r="AT263" s="215"/>
      <c r="AU263" s="215"/>
      <c r="AV263" s="215"/>
      <c r="AW263" s="224"/>
      <c r="AX263" s="224"/>
      <c r="BH263" s="1"/>
    </row>
    <row r="264" spans="46:60" x14ac:dyDescent="0.2">
      <c r="AT264" s="215"/>
      <c r="AU264" s="215"/>
      <c r="AV264" s="215"/>
      <c r="AW264" s="224"/>
      <c r="AX264" s="224"/>
      <c r="BH264" s="1"/>
    </row>
    <row r="265" spans="46:60" x14ac:dyDescent="0.2">
      <c r="AT265" s="215"/>
      <c r="AU265" s="215"/>
      <c r="AV265" s="215"/>
      <c r="AW265" s="224"/>
      <c r="AX265" s="224"/>
      <c r="BH265" s="1"/>
    </row>
    <row r="266" spans="46:60" x14ac:dyDescent="0.2">
      <c r="AT266" s="215"/>
      <c r="AU266" s="215"/>
      <c r="AV266" s="215"/>
      <c r="AW266" s="224"/>
      <c r="AX266" s="224"/>
      <c r="BH266" s="1"/>
    </row>
    <row r="267" spans="46:60" x14ac:dyDescent="0.2">
      <c r="AT267" s="215"/>
      <c r="AU267" s="215"/>
      <c r="AV267" s="215"/>
      <c r="AW267" s="224"/>
      <c r="AX267" s="224"/>
      <c r="BH267" s="1"/>
    </row>
    <row r="268" spans="46:60" x14ac:dyDescent="0.2">
      <c r="AT268" s="215"/>
      <c r="AU268" s="215"/>
      <c r="AV268" s="215"/>
      <c r="AW268" s="224"/>
      <c r="AX268" s="224"/>
      <c r="BH268" s="1"/>
    </row>
    <row r="269" spans="46:60" x14ac:dyDescent="0.2">
      <c r="AT269" s="215"/>
      <c r="AU269" s="215"/>
      <c r="AV269" s="215"/>
      <c r="AW269" s="224"/>
      <c r="AX269" s="224"/>
      <c r="BH269" s="1"/>
    </row>
    <row r="270" spans="46:60" x14ac:dyDescent="0.2">
      <c r="AT270" s="215"/>
      <c r="AU270" s="215"/>
      <c r="AV270" s="215"/>
      <c r="AW270" s="224"/>
      <c r="AX270" s="224"/>
      <c r="BH270" s="1"/>
    </row>
    <row r="271" spans="46:60" x14ac:dyDescent="0.2">
      <c r="AT271" s="215"/>
      <c r="AU271" s="215"/>
      <c r="AV271" s="215"/>
      <c r="AW271" s="224"/>
      <c r="AX271" s="224"/>
      <c r="BH271" s="1"/>
    </row>
    <row r="272" spans="46:60" x14ac:dyDescent="0.2">
      <c r="AT272" s="215"/>
      <c r="AU272" s="215"/>
      <c r="AV272" s="215"/>
      <c r="AW272" s="224"/>
      <c r="AX272" s="224"/>
      <c r="BH272" s="1"/>
    </row>
    <row r="273" spans="46:60" x14ac:dyDescent="0.2">
      <c r="AT273" s="215"/>
      <c r="AU273" s="215"/>
      <c r="AV273" s="215"/>
      <c r="AW273" s="224"/>
      <c r="AX273" s="224"/>
      <c r="BH273" s="1"/>
    </row>
    <row r="274" spans="46:60" x14ac:dyDescent="0.2">
      <c r="AT274" s="215"/>
      <c r="AU274" s="215"/>
      <c r="AV274" s="215"/>
      <c r="AW274" s="224"/>
      <c r="AX274" s="224"/>
      <c r="BH274" s="1"/>
    </row>
    <row r="275" spans="46:60" x14ac:dyDescent="0.2">
      <c r="AT275" s="215"/>
      <c r="AU275" s="215"/>
      <c r="AV275" s="215"/>
      <c r="AW275" s="224"/>
      <c r="AX275" s="224"/>
      <c r="BH275" s="1"/>
    </row>
    <row r="276" spans="46:60" x14ac:dyDescent="0.2">
      <c r="AT276" s="215"/>
      <c r="AU276" s="215"/>
      <c r="AV276" s="215"/>
      <c r="AW276" s="224"/>
      <c r="AX276" s="224"/>
      <c r="BH276" s="1"/>
    </row>
    <row r="277" spans="46:60" x14ac:dyDescent="0.2">
      <c r="AT277" s="27"/>
      <c r="AU277" s="27"/>
      <c r="AV277" s="27"/>
      <c r="AW277" s="224"/>
      <c r="AX277" s="224"/>
      <c r="BH277" s="1"/>
    </row>
    <row r="278" spans="46:60" x14ac:dyDescent="0.2">
      <c r="AT278" s="27"/>
      <c r="AU278" s="27"/>
      <c r="AV278" s="27"/>
      <c r="BH278" s="1"/>
    </row>
    <row r="279" spans="46:60" x14ac:dyDescent="0.2">
      <c r="AT279" s="27"/>
      <c r="AU279" s="27"/>
      <c r="AV279" s="27"/>
      <c r="BH279" s="1"/>
    </row>
    <row r="280" spans="46:60" x14ac:dyDescent="0.2">
      <c r="AT280" s="27"/>
      <c r="AU280" s="27"/>
      <c r="AV280" s="27"/>
      <c r="BH280" s="1"/>
    </row>
    <row r="281" spans="46:60" x14ac:dyDescent="0.2">
      <c r="AT281" s="27"/>
      <c r="AU281" s="27"/>
      <c r="AV281" s="27"/>
      <c r="BH281" s="1"/>
    </row>
    <row r="282" spans="46:60" x14ac:dyDescent="0.2">
      <c r="AT282" s="27"/>
      <c r="AU282" s="27"/>
      <c r="AV282" s="27"/>
      <c r="BH282" s="1"/>
    </row>
    <row r="283" spans="46:60" x14ac:dyDescent="0.2">
      <c r="AT283" s="27"/>
      <c r="AU283" s="27"/>
      <c r="AV283" s="27"/>
      <c r="BH283" s="1"/>
    </row>
    <row r="284" spans="46:60" x14ac:dyDescent="0.2">
      <c r="AT284" s="27"/>
      <c r="AU284" s="27"/>
      <c r="AV284" s="27"/>
      <c r="BH284" s="1"/>
    </row>
    <row r="285" spans="46:60" x14ac:dyDescent="0.2">
      <c r="AT285" s="27"/>
      <c r="AU285" s="27"/>
      <c r="AV285" s="27"/>
      <c r="BH285" s="1"/>
    </row>
    <row r="286" spans="46:60" x14ac:dyDescent="0.2">
      <c r="AT286" s="27"/>
      <c r="AU286" s="27"/>
      <c r="AV286" s="27"/>
      <c r="BH286" s="1"/>
    </row>
    <row r="287" spans="46:60" x14ac:dyDescent="0.2">
      <c r="AT287" s="27"/>
      <c r="AU287" s="27"/>
      <c r="AV287" s="27"/>
      <c r="BH287" s="1"/>
    </row>
    <row r="288" spans="46:60" x14ac:dyDescent="0.2">
      <c r="AT288" s="27"/>
      <c r="AU288" s="27"/>
      <c r="AV288" s="27"/>
      <c r="BH288" s="1"/>
    </row>
    <row r="289" spans="46:60" x14ac:dyDescent="0.2">
      <c r="AT289" s="27"/>
      <c r="AU289" s="27"/>
      <c r="AV289" s="27"/>
      <c r="BH289" s="1"/>
    </row>
    <row r="290" spans="46:60" x14ac:dyDescent="0.2">
      <c r="AT290" s="27"/>
      <c r="AU290" s="27"/>
      <c r="AV290" s="27"/>
      <c r="BH290" s="1"/>
    </row>
    <row r="291" spans="46:60" x14ac:dyDescent="0.2">
      <c r="AT291" s="27"/>
      <c r="AU291" s="27"/>
      <c r="AV291" s="27"/>
      <c r="BH291" s="1"/>
    </row>
    <row r="292" spans="46:60" x14ac:dyDescent="0.2">
      <c r="AT292" s="27"/>
      <c r="AU292" s="27"/>
      <c r="AV292" s="27"/>
      <c r="BH292" s="1"/>
    </row>
    <row r="293" spans="46:60" x14ac:dyDescent="0.2">
      <c r="AT293" s="27"/>
      <c r="AU293" s="27"/>
      <c r="AV293" s="27"/>
      <c r="BH293" s="1"/>
    </row>
    <row r="294" spans="46:60" x14ac:dyDescent="0.2">
      <c r="AT294" s="27"/>
      <c r="AU294" s="27"/>
      <c r="AV294" s="27"/>
      <c r="BH294" s="1"/>
    </row>
    <row r="295" spans="46:60" x14ac:dyDescent="0.2">
      <c r="AT295" s="27"/>
      <c r="AU295" s="27"/>
      <c r="AV295" s="27"/>
      <c r="BH295" s="1"/>
    </row>
    <row r="296" spans="46:60" x14ac:dyDescent="0.2">
      <c r="AT296" s="27"/>
      <c r="AU296" s="27"/>
      <c r="AV296" s="27"/>
      <c r="BH296" s="1"/>
    </row>
    <row r="297" spans="46:60" x14ac:dyDescent="0.2">
      <c r="AT297" s="27"/>
      <c r="AU297" s="27"/>
      <c r="AV297" s="27"/>
      <c r="BH297" s="1"/>
    </row>
    <row r="298" spans="46:60" x14ac:dyDescent="0.2">
      <c r="AT298" s="27"/>
      <c r="AU298" s="27"/>
      <c r="AV298" s="27"/>
      <c r="BH298" s="1"/>
    </row>
    <row r="299" spans="46:60" x14ac:dyDescent="0.2">
      <c r="AT299" s="27"/>
      <c r="AU299" s="27"/>
      <c r="AV299" s="27"/>
      <c r="BH299" s="1"/>
    </row>
    <row r="300" spans="46:60" x14ac:dyDescent="0.2">
      <c r="AT300" s="27"/>
      <c r="AU300" s="27"/>
      <c r="AV300" s="27"/>
      <c r="BH300" s="1"/>
    </row>
    <row r="301" spans="46:60" x14ac:dyDescent="0.2">
      <c r="AT301" s="27"/>
      <c r="AU301" s="27"/>
      <c r="AV301" s="27"/>
      <c r="BH301" s="1"/>
    </row>
    <row r="302" spans="46:60" x14ac:dyDescent="0.2">
      <c r="AT302" s="27"/>
      <c r="AU302" s="27"/>
      <c r="AV302" s="27"/>
      <c r="BH302" s="1"/>
    </row>
    <row r="303" spans="46:60" x14ac:dyDescent="0.2">
      <c r="AT303" s="27"/>
      <c r="AU303" s="27"/>
      <c r="AV303" s="27"/>
      <c r="BH303" s="1"/>
    </row>
    <row r="304" spans="46:60" x14ac:dyDescent="0.2">
      <c r="AT304" s="27"/>
      <c r="AU304" s="27"/>
      <c r="AV304" s="27"/>
      <c r="BH304" s="1"/>
    </row>
    <row r="305" spans="46:60" x14ac:dyDescent="0.2">
      <c r="AT305" s="27"/>
      <c r="AU305" s="27"/>
      <c r="AV305" s="27"/>
      <c r="BH305" s="1"/>
    </row>
    <row r="306" spans="46:60" x14ac:dyDescent="0.2">
      <c r="AT306" s="27"/>
      <c r="AU306" s="27"/>
      <c r="AV306" s="27"/>
      <c r="BH306" s="1"/>
    </row>
    <row r="307" spans="46:60" x14ac:dyDescent="0.2">
      <c r="AT307" s="27"/>
      <c r="AU307" s="27"/>
      <c r="AV307" s="27"/>
      <c r="BH307" s="1"/>
    </row>
    <row r="308" spans="46:60" x14ac:dyDescent="0.2">
      <c r="AT308" s="27"/>
      <c r="AU308" s="27"/>
      <c r="AV308" s="27"/>
      <c r="BH308" s="1"/>
    </row>
    <row r="309" spans="46:60" x14ac:dyDescent="0.2">
      <c r="AT309" s="27"/>
      <c r="AU309" s="27"/>
      <c r="AV309" s="27"/>
      <c r="BH309" s="1"/>
    </row>
    <row r="310" spans="46:60" x14ac:dyDescent="0.2">
      <c r="AT310" s="27"/>
      <c r="AU310" s="27"/>
      <c r="AV310" s="27"/>
      <c r="BH310" s="1"/>
    </row>
    <row r="311" spans="46:60" x14ac:dyDescent="0.2">
      <c r="BH311" s="1"/>
    </row>
    <row r="312" spans="46:60" x14ac:dyDescent="0.2">
      <c r="BH312" s="1"/>
    </row>
    <row r="313" spans="46:60" x14ac:dyDescent="0.2">
      <c r="BH313" s="1"/>
    </row>
    <row r="314" spans="46:60" x14ac:dyDescent="0.2">
      <c r="BH314" s="1"/>
    </row>
    <row r="315" spans="46:60" x14ac:dyDescent="0.2">
      <c r="BH315" s="1"/>
    </row>
    <row r="316" spans="46:60" x14ac:dyDescent="0.2">
      <c r="BH316" s="1"/>
    </row>
    <row r="317" spans="46:60" x14ac:dyDescent="0.2">
      <c r="BH317" s="1"/>
    </row>
    <row r="318" spans="46:60" x14ac:dyDescent="0.2">
      <c r="BH318" s="1"/>
    </row>
    <row r="319" spans="46:60" x14ac:dyDescent="0.2">
      <c r="BH319" s="1"/>
    </row>
    <row r="320" spans="46:60" x14ac:dyDescent="0.2">
      <c r="BH320" s="1"/>
    </row>
    <row r="321" spans="60:60" x14ac:dyDescent="0.2">
      <c r="BH321" s="1"/>
    </row>
    <row r="322" spans="60:60" x14ac:dyDescent="0.2">
      <c r="BH322" s="1"/>
    </row>
    <row r="323" spans="60:60" x14ac:dyDescent="0.2">
      <c r="BH323" s="1"/>
    </row>
    <row r="324" spans="60:60" x14ac:dyDescent="0.2">
      <c r="BH324" s="1"/>
    </row>
    <row r="325" spans="60:60" x14ac:dyDescent="0.2">
      <c r="BH325" s="1"/>
    </row>
    <row r="326" spans="60:60" x14ac:dyDescent="0.2">
      <c r="BH326" s="1"/>
    </row>
    <row r="327" spans="60:60" x14ac:dyDescent="0.2">
      <c r="BH327" s="1"/>
    </row>
    <row r="328" spans="60:60" x14ac:dyDescent="0.2">
      <c r="BH328" s="1"/>
    </row>
    <row r="329" spans="60:60" x14ac:dyDescent="0.2">
      <c r="BH329" s="1"/>
    </row>
    <row r="330" spans="60:60" x14ac:dyDescent="0.2">
      <c r="BH330" s="1"/>
    </row>
    <row r="331" spans="60:60" x14ac:dyDescent="0.2">
      <c r="BH331" s="1"/>
    </row>
    <row r="332" spans="60:60" x14ac:dyDescent="0.2">
      <c r="BH332" s="1"/>
    </row>
    <row r="333" spans="60:60" x14ac:dyDescent="0.2">
      <c r="BH333" s="1"/>
    </row>
    <row r="334" spans="60:60" x14ac:dyDescent="0.2">
      <c r="BH334" s="1"/>
    </row>
    <row r="335" spans="60:60" x14ac:dyDescent="0.2">
      <c r="BH335" s="1"/>
    </row>
    <row r="336" spans="60:60" x14ac:dyDescent="0.2">
      <c r="BH336" s="1"/>
    </row>
    <row r="337" spans="60:60" x14ac:dyDescent="0.2">
      <c r="BH337" s="1"/>
    </row>
    <row r="338" spans="60:60" x14ac:dyDescent="0.2">
      <c r="BH338" s="1"/>
    </row>
    <row r="339" spans="60:60" x14ac:dyDescent="0.2">
      <c r="BH339" s="1"/>
    </row>
    <row r="340" spans="60:60" x14ac:dyDescent="0.2">
      <c r="BH340" s="1"/>
    </row>
    <row r="341" spans="60:60" x14ac:dyDescent="0.2">
      <c r="BH341" s="1"/>
    </row>
    <row r="342" spans="60:60" x14ac:dyDescent="0.2">
      <c r="BH342" s="1"/>
    </row>
    <row r="343" spans="60:60" x14ac:dyDescent="0.2">
      <c r="BH343" s="1"/>
    </row>
    <row r="344" spans="60:60" x14ac:dyDescent="0.2">
      <c r="BH344" s="1"/>
    </row>
    <row r="345" spans="60:60" x14ac:dyDescent="0.2">
      <c r="BH345" s="1"/>
    </row>
    <row r="346" spans="60:60" x14ac:dyDescent="0.2">
      <c r="BH346" s="1"/>
    </row>
    <row r="347" spans="60:60" x14ac:dyDescent="0.2">
      <c r="BH347" s="1"/>
    </row>
    <row r="348" spans="60:60" x14ac:dyDescent="0.2">
      <c r="BH348" s="1"/>
    </row>
    <row r="349" spans="60:60" x14ac:dyDescent="0.2">
      <c r="BH349" s="1"/>
    </row>
    <row r="350" spans="60:60" x14ac:dyDescent="0.2">
      <c r="BH350" s="1"/>
    </row>
    <row r="351" spans="60:60" x14ac:dyDescent="0.2">
      <c r="BH351" s="1"/>
    </row>
    <row r="352" spans="60:60" x14ac:dyDescent="0.2">
      <c r="BH352" s="1"/>
    </row>
    <row r="353" spans="60:60" x14ac:dyDescent="0.2">
      <c r="BH353" s="1"/>
    </row>
    <row r="354" spans="60:60" x14ac:dyDescent="0.2">
      <c r="BH354" s="1"/>
    </row>
    <row r="355" spans="60:60" x14ac:dyDescent="0.2">
      <c r="BH355" s="1"/>
    </row>
    <row r="356" spans="60:60" x14ac:dyDescent="0.2">
      <c r="BH356" s="1"/>
    </row>
    <row r="357" spans="60:60" x14ac:dyDescent="0.2">
      <c r="BH357" s="1"/>
    </row>
    <row r="358" spans="60:60" x14ac:dyDescent="0.2">
      <c r="BH358" s="1"/>
    </row>
    <row r="359" spans="60:60" x14ac:dyDescent="0.2">
      <c r="BH359" s="1"/>
    </row>
    <row r="360" spans="60:60" x14ac:dyDescent="0.2">
      <c r="BH360" s="1"/>
    </row>
    <row r="361" spans="60:60" x14ac:dyDescent="0.2">
      <c r="BH361" s="1"/>
    </row>
    <row r="362" spans="60:60" x14ac:dyDescent="0.2">
      <c r="BH362" s="1"/>
    </row>
    <row r="363" spans="60:60" x14ac:dyDescent="0.2">
      <c r="BH363" s="1"/>
    </row>
    <row r="364" spans="60:60" x14ac:dyDescent="0.2">
      <c r="BH364" s="1"/>
    </row>
    <row r="365" spans="60:60" x14ac:dyDescent="0.2">
      <c r="BH365" s="1"/>
    </row>
    <row r="366" spans="60:60" x14ac:dyDescent="0.2">
      <c r="BH366" s="1"/>
    </row>
    <row r="367" spans="60:60" x14ac:dyDescent="0.2">
      <c r="BH367" s="1"/>
    </row>
    <row r="368" spans="60:60" x14ac:dyDescent="0.2">
      <c r="BH368" s="1"/>
    </row>
    <row r="369" spans="60:60" x14ac:dyDescent="0.2">
      <c r="BH369" s="1"/>
    </row>
    <row r="370" spans="60:60" x14ac:dyDescent="0.2">
      <c r="BH370" s="1"/>
    </row>
    <row r="371" spans="60:60" x14ac:dyDescent="0.2">
      <c r="BH371" s="1"/>
    </row>
    <row r="372" spans="60:60" x14ac:dyDescent="0.2">
      <c r="BH372" s="1"/>
    </row>
    <row r="373" spans="60:60" x14ac:dyDescent="0.2">
      <c r="BH373" s="1"/>
    </row>
    <row r="374" spans="60:60" x14ac:dyDescent="0.2">
      <c r="BH374" s="1"/>
    </row>
    <row r="375" spans="60:60" x14ac:dyDescent="0.2">
      <c r="BH375" s="1"/>
    </row>
    <row r="376" spans="60:60" x14ac:dyDescent="0.2">
      <c r="BH376" s="1"/>
    </row>
    <row r="377" spans="60:60" x14ac:dyDescent="0.2">
      <c r="BH377" s="1"/>
    </row>
    <row r="378" spans="60:60" x14ac:dyDescent="0.2">
      <c r="BH378" s="1"/>
    </row>
    <row r="379" spans="60:60" x14ac:dyDescent="0.2">
      <c r="BH379" s="1"/>
    </row>
    <row r="380" spans="60:60" x14ac:dyDescent="0.2">
      <c r="BH380" s="1"/>
    </row>
    <row r="381" spans="60:60" x14ac:dyDescent="0.2">
      <c r="BH381" s="1"/>
    </row>
    <row r="382" spans="60:60" x14ac:dyDescent="0.2">
      <c r="BH382" s="1"/>
    </row>
    <row r="383" spans="60:60" x14ac:dyDescent="0.2">
      <c r="BH383" s="1"/>
    </row>
    <row r="384" spans="60:60" x14ac:dyDescent="0.2">
      <c r="BH384" s="1"/>
    </row>
    <row r="385" spans="60:60" x14ac:dyDescent="0.2">
      <c r="BH385" s="1"/>
    </row>
    <row r="386" spans="60:60" x14ac:dyDescent="0.2">
      <c r="BH386" s="1"/>
    </row>
    <row r="387" spans="60:60" x14ac:dyDescent="0.2">
      <c r="BH387" s="1"/>
    </row>
    <row r="388" spans="60:60" x14ac:dyDescent="0.2">
      <c r="BH388" s="1"/>
    </row>
    <row r="389" spans="60:60" x14ac:dyDescent="0.2">
      <c r="BH389" s="1"/>
    </row>
    <row r="390" spans="60:60" x14ac:dyDescent="0.2">
      <c r="BH390" s="1"/>
    </row>
    <row r="391" spans="60:60" x14ac:dyDescent="0.2">
      <c r="BH391" s="1"/>
    </row>
    <row r="392" spans="60:60" x14ac:dyDescent="0.2">
      <c r="BH392" s="1"/>
    </row>
    <row r="393" spans="60:60" x14ac:dyDescent="0.2">
      <c r="BH393" s="1"/>
    </row>
    <row r="394" spans="60:60" x14ac:dyDescent="0.2">
      <c r="BH394" s="1"/>
    </row>
    <row r="395" spans="60:60" x14ac:dyDescent="0.2">
      <c r="BH395" s="1"/>
    </row>
    <row r="396" spans="60:60" x14ac:dyDescent="0.2">
      <c r="BH396" s="1"/>
    </row>
    <row r="397" spans="60:60" x14ac:dyDescent="0.2">
      <c r="BH397" s="1"/>
    </row>
    <row r="398" spans="60:60" x14ac:dyDescent="0.2">
      <c r="BH398" s="1"/>
    </row>
    <row r="399" spans="60:60" x14ac:dyDescent="0.2">
      <c r="BH399" s="1"/>
    </row>
    <row r="400" spans="60:60" x14ac:dyDescent="0.2">
      <c r="BH400" s="1"/>
    </row>
    <row r="401" spans="60:60" x14ac:dyDescent="0.2">
      <c r="BH401" s="1"/>
    </row>
    <row r="402" spans="60:60" x14ac:dyDescent="0.2">
      <c r="BH402" s="1"/>
    </row>
    <row r="403" spans="60:60" x14ac:dyDescent="0.2">
      <c r="BH403" s="1"/>
    </row>
    <row r="404" spans="60:60" x14ac:dyDescent="0.2">
      <c r="BH404" s="1"/>
    </row>
    <row r="405" spans="60:60" x14ac:dyDescent="0.2">
      <c r="BH405" s="1"/>
    </row>
    <row r="406" spans="60:60" x14ac:dyDescent="0.2">
      <c r="BH406" s="1"/>
    </row>
    <row r="407" spans="60:60" x14ac:dyDescent="0.2">
      <c r="BH407" s="1"/>
    </row>
    <row r="408" spans="60:60" x14ac:dyDescent="0.2">
      <c r="BH408" s="1"/>
    </row>
    <row r="409" spans="60:60" x14ac:dyDescent="0.2">
      <c r="BH409" s="1"/>
    </row>
    <row r="410" spans="60:60" x14ac:dyDescent="0.2">
      <c r="BH410" s="1"/>
    </row>
    <row r="411" spans="60:60" x14ac:dyDescent="0.2">
      <c r="BH411" s="1"/>
    </row>
    <row r="412" spans="60:60" x14ac:dyDescent="0.2">
      <c r="BH412" s="1"/>
    </row>
    <row r="413" spans="60:60" x14ac:dyDescent="0.2">
      <c r="BH413" s="1"/>
    </row>
    <row r="414" spans="60:60" x14ac:dyDescent="0.2">
      <c r="BH414" s="1"/>
    </row>
    <row r="415" spans="60:60" x14ac:dyDescent="0.2">
      <c r="BH415" s="1"/>
    </row>
    <row r="416" spans="60:60" x14ac:dyDescent="0.2">
      <c r="BH416" s="1"/>
    </row>
    <row r="417" spans="60:60" x14ac:dyDescent="0.2">
      <c r="BH417" s="1"/>
    </row>
    <row r="418" spans="60:60" x14ac:dyDescent="0.2">
      <c r="BH418" s="1"/>
    </row>
    <row r="419" spans="60:60" x14ac:dyDescent="0.2">
      <c r="BH419" s="1"/>
    </row>
    <row r="420" spans="60:60" x14ac:dyDescent="0.2">
      <c r="BH420" s="1"/>
    </row>
    <row r="421" spans="60:60" x14ac:dyDescent="0.2">
      <c r="BH421" s="1"/>
    </row>
    <row r="422" spans="60:60" x14ac:dyDescent="0.2">
      <c r="BH422" s="1"/>
    </row>
    <row r="423" spans="60:60" x14ac:dyDescent="0.2">
      <c r="BH423" s="1"/>
    </row>
    <row r="424" spans="60:60" x14ac:dyDescent="0.2">
      <c r="BH424" s="1"/>
    </row>
    <row r="425" spans="60:60" x14ac:dyDescent="0.2">
      <c r="BH425" s="1"/>
    </row>
    <row r="426" spans="60:60" x14ac:dyDescent="0.2">
      <c r="BH426" s="1"/>
    </row>
    <row r="427" spans="60:60" x14ac:dyDescent="0.2">
      <c r="BH427" s="1"/>
    </row>
    <row r="428" spans="60:60" x14ac:dyDescent="0.2">
      <c r="BH428" s="1"/>
    </row>
    <row r="429" spans="60:60" x14ac:dyDescent="0.2">
      <c r="BH429" s="1"/>
    </row>
    <row r="430" spans="60:60" x14ac:dyDescent="0.2">
      <c r="BH430" s="1"/>
    </row>
    <row r="431" spans="60:60" x14ac:dyDescent="0.2">
      <c r="BH431" s="1"/>
    </row>
    <row r="432" spans="60:60" x14ac:dyDescent="0.2">
      <c r="BH432" s="1"/>
    </row>
    <row r="433" spans="60:60" x14ac:dyDescent="0.2">
      <c r="BH433" s="1"/>
    </row>
    <row r="434" spans="60:60" x14ac:dyDescent="0.2">
      <c r="BH434" s="1"/>
    </row>
    <row r="435" spans="60:60" x14ac:dyDescent="0.2">
      <c r="BH435" s="1"/>
    </row>
    <row r="436" spans="60:60" x14ac:dyDescent="0.2">
      <c r="BH436" s="1"/>
    </row>
    <row r="437" spans="60:60" x14ac:dyDescent="0.2">
      <c r="BH437" s="1"/>
    </row>
    <row r="438" spans="60:60" x14ac:dyDescent="0.2">
      <c r="BH438" s="1"/>
    </row>
    <row r="439" spans="60:60" x14ac:dyDescent="0.2">
      <c r="BH439" s="1"/>
    </row>
    <row r="440" spans="60:60" x14ac:dyDescent="0.2">
      <c r="BH440" s="1"/>
    </row>
    <row r="441" spans="60:60" x14ac:dyDescent="0.2">
      <c r="BH441" s="1"/>
    </row>
    <row r="442" spans="60:60" x14ac:dyDescent="0.2">
      <c r="BH442" s="1"/>
    </row>
    <row r="443" spans="60:60" x14ac:dyDescent="0.2">
      <c r="BH443" s="1"/>
    </row>
    <row r="444" spans="60:60" x14ac:dyDescent="0.2">
      <c r="BH444" s="1"/>
    </row>
    <row r="445" spans="60:60" x14ac:dyDescent="0.2">
      <c r="BH445" s="1"/>
    </row>
    <row r="446" spans="60:60" x14ac:dyDescent="0.2">
      <c r="BH446" s="1"/>
    </row>
    <row r="447" spans="60:60" x14ac:dyDescent="0.2">
      <c r="BH447" s="1"/>
    </row>
    <row r="448" spans="60:60" x14ac:dyDescent="0.2">
      <c r="BH448" s="1"/>
    </row>
    <row r="449" spans="60:60" x14ac:dyDescent="0.2">
      <c r="BH449" s="1"/>
    </row>
    <row r="450" spans="60:60" x14ac:dyDescent="0.2">
      <c r="BH450" s="1"/>
    </row>
    <row r="451" spans="60:60" x14ac:dyDescent="0.2">
      <c r="BH451" s="1"/>
    </row>
    <row r="452" spans="60:60" x14ac:dyDescent="0.2">
      <c r="BH452" s="1"/>
    </row>
    <row r="453" spans="60:60" x14ac:dyDescent="0.2">
      <c r="BH453" s="1"/>
    </row>
    <row r="454" spans="60:60" x14ac:dyDescent="0.2">
      <c r="BH454" s="1"/>
    </row>
    <row r="455" spans="60:60" x14ac:dyDescent="0.2">
      <c r="BH455" s="1"/>
    </row>
    <row r="456" spans="60:60" x14ac:dyDescent="0.2">
      <c r="BH456" s="1"/>
    </row>
    <row r="457" spans="60:60" x14ac:dyDescent="0.2">
      <c r="BH457" s="1"/>
    </row>
    <row r="458" spans="60:60" x14ac:dyDescent="0.2">
      <c r="BH458" s="1"/>
    </row>
    <row r="459" spans="60:60" x14ac:dyDescent="0.2">
      <c r="BH459" s="1"/>
    </row>
    <row r="460" spans="60:60" x14ac:dyDescent="0.2">
      <c r="BH460" s="1"/>
    </row>
    <row r="461" spans="60:60" x14ac:dyDescent="0.2">
      <c r="BH461" s="1"/>
    </row>
    <row r="462" spans="60:60" x14ac:dyDescent="0.2">
      <c r="BH462" s="1"/>
    </row>
    <row r="463" spans="60:60" x14ac:dyDescent="0.2">
      <c r="BH463" s="1"/>
    </row>
    <row r="464" spans="60:60" x14ac:dyDescent="0.2">
      <c r="BH464" s="1"/>
    </row>
    <row r="465" spans="60:60" x14ac:dyDescent="0.2">
      <c r="BH465" s="1"/>
    </row>
    <row r="466" spans="60:60" x14ac:dyDescent="0.2">
      <c r="BH466" s="1"/>
    </row>
    <row r="467" spans="60:60" x14ac:dyDescent="0.2">
      <c r="BH467" s="1"/>
    </row>
    <row r="468" spans="60:60" x14ac:dyDescent="0.2">
      <c r="BH468" s="1"/>
    </row>
    <row r="469" spans="60:60" x14ac:dyDescent="0.2">
      <c r="BH469" s="1"/>
    </row>
    <row r="470" spans="60:60" x14ac:dyDescent="0.2">
      <c r="BH470" s="1"/>
    </row>
    <row r="471" spans="60:60" x14ac:dyDescent="0.2">
      <c r="BH471" s="1"/>
    </row>
    <row r="472" spans="60:60" x14ac:dyDescent="0.2">
      <c r="BH472" s="1"/>
    </row>
    <row r="473" spans="60:60" x14ac:dyDescent="0.2">
      <c r="BH473" s="1"/>
    </row>
    <row r="474" spans="60:60" x14ac:dyDescent="0.2">
      <c r="BH474" s="1"/>
    </row>
    <row r="475" spans="60:60" x14ac:dyDescent="0.2">
      <c r="BH475" s="1"/>
    </row>
    <row r="476" spans="60:60" x14ac:dyDescent="0.2">
      <c r="BH476" s="1"/>
    </row>
    <row r="477" spans="60:60" x14ac:dyDescent="0.2">
      <c r="BH477" s="1"/>
    </row>
    <row r="478" spans="60:60" x14ac:dyDescent="0.2">
      <c r="BH478" s="1"/>
    </row>
    <row r="479" spans="60:60" x14ac:dyDescent="0.2">
      <c r="BH479" s="1"/>
    </row>
    <row r="480" spans="60:60" x14ac:dyDescent="0.2">
      <c r="BH480" s="1"/>
    </row>
    <row r="481" spans="60:60" x14ac:dyDescent="0.2">
      <c r="BH481" s="1"/>
    </row>
    <row r="482" spans="60:60" x14ac:dyDescent="0.2">
      <c r="BH482" s="1"/>
    </row>
    <row r="483" spans="60:60" x14ac:dyDescent="0.2">
      <c r="BH483" s="1"/>
    </row>
    <row r="484" spans="60:60" x14ac:dyDescent="0.2">
      <c r="BH484" s="1"/>
    </row>
    <row r="485" spans="60:60" x14ac:dyDescent="0.2">
      <c r="BH485" s="1"/>
    </row>
    <row r="486" spans="60:60" x14ac:dyDescent="0.2">
      <c r="BH486" s="1"/>
    </row>
    <row r="487" spans="60:60" x14ac:dyDescent="0.2">
      <c r="BH487" s="1"/>
    </row>
    <row r="488" spans="60:60" x14ac:dyDescent="0.2">
      <c r="BH488" s="1"/>
    </row>
    <row r="489" spans="60:60" x14ac:dyDescent="0.2">
      <c r="BH489" s="1"/>
    </row>
    <row r="490" spans="60:60" x14ac:dyDescent="0.2">
      <c r="BH490" s="1"/>
    </row>
    <row r="491" spans="60:60" x14ac:dyDescent="0.2">
      <c r="BH491" s="1"/>
    </row>
    <row r="492" spans="60:60" x14ac:dyDescent="0.2">
      <c r="BH492" s="1"/>
    </row>
    <row r="493" spans="60:60" x14ac:dyDescent="0.2">
      <c r="BH493" s="1"/>
    </row>
    <row r="494" spans="60:60" x14ac:dyDescent="0.2">
      <c r="BH494" s="1"/>
    </row>
    <row r="495" spans="60:60" x14ac:dyDescent="0.2">
      <c r="BH495" s="1"/>
    </row>
    <row r="496" spans="60:60" x14ac:dyDescent="0.2">
      <c r="BH496" s="1"/>
    </row>
  </sheetData>
  <mergeCells count="19">
    <mergeCell ref="A4:B4"/>
    <mergeCell ref="C13:D13"/>
    <mergeCell ref="A11:C11"/>
    <mergeCell ref="BF6:BG6"/>
    <mergeCell ref="AY7:BC7"/>
    <mergeCell ref="BF7:BG7"/>
    <mergeCell ref="E9:H9"/>
    <mergeCell ref="F11:G11"/>
    <mergeCell ref="J11:K11"/>
    <mergeCell ref="A60:C60"/>
    <mergeCell ref="C12:D12"/>
    <mergeCell ref="C30:D30"/>
    <mergeCell ref="C31:D31"/>
    <mergeCell ref="A15:B15"/>
    <mergeCell ref="A46:C46"/>
    <mergeCell ref="A14:B14"/>
    <mergeCell ref="A29:C29"/>
    <mergeCell ref="A33:B33"/>
    <mergeCell ref="A32:B32"/>
  </mergeCells>
  <phoneticPr fontId="0" type="noConversion"/>
  <conditionalFormatting sqref="I54">
    <cfRule type="dataBar" priority="3">
      <dataBar>
        <cfvo type="min"/>
        <cfvo type="max"/>
        <color rgb="FF638EC6"/>
      </dataBar>
    </cfRule>
    <cfRule type="cellIs" dxfId="4" priority="5" stopIfTrue="1" operator="equal">
      <formula>"i45=1"</formula>
    </cfRule>
  </conditionalFormatting>
  <conditionalFormatting sqref="O30">
    <cfRule type="expression" dxfId="3" priority="4" stopIfTrue="1">
      <formula>"si i45=1"</formula>
    </cfRule>
  </conditionalFormatting>
  <conditionalFormatting sqref="BW1">
    <cfRule type="dataBar" priority="1">
      <dataBar>
        <cfvo type="min"/>
        <cfvo type="max"/>
        <color rgb="FF638EC6"/>
      </dataBar>
    </cfRule>
    <cfRule type="cellIs" dxfId="2" priority="2" stopIfTrue="1" operator="equal">
      <formula>"i45=1"</formula>
    </cfRule>
  </conditionalFormatting>
  <hyperlinks>
    <hyperlink ref="H2" location="'Menú Principa'!A1" display="Regresar al Menú Principal"/>
    <hyperlink ref="BE4" location="Enajenacion!A1" display="Regresa al Menú Anterior"/>
  </hyperlinks>
  <pageMargins left="0.36" right="0.5" top="0.26" bottom="0.33" header="0" footer="0"/>
  <pageSetup scale="74" orientation="landscape" horizontalDpi="4294967295" r:id="rId1"/>
  <headerFooter alignWithMargins="0"/>
  <ignoredErrors>
    <ignoredError sqref="B8:C8" unlockedFormula="1"/>
  </ignoredErrors>
  <drawing r:id="rId2"/>
  <legacyDrawing r:id="rId3"/>
  <controls>
    <mc:AlternateContent xmlns:mc="http://schemas.openxmlformats.org/markup-compatibility/2006">
      <mc:Choice Requires="x14">
        <control shapeId="4104" r:id="rId4" name="CheckBox1">
          <controlPr defaultSize="0" autoLine="0" linkedCell="E54" r:id="rId5">
            <anchor moveWithCells="1">
              <from>
                <xdr:col>4</xdr:col>
                <xdr:colOff>133350</xdr:colOff>
                <xdr:row>50</xdr:row>
                <xdr:rowOff>0</xdr:rowOff>
              </from>
              <to>
                <xdr:col>8</xdr:col>
                <xdr:colOff>542925</xdr:colOff>
                <xdr:row>51</xdr:row>
                <xdr:rowOff>47625</xdr:rowOff>
              </to>
            </anchor>
          </controlPr>
        </control>
      </mc:Choice>
      <mc:Fallback>
        <control shapeId="4104" r:id="rId4" name="CheckBox1"/>
      </mc:Fallback>
    </mc:AlternateContent>
  </control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>
    <pageSetUpPr fitToPage="1"/>
  </sheetPr>
  <dimension ref="A1:AU84"/>
  <sheetViews>
    <sheetView showGridLines="0" showRowColHeaders="0" workbookViewId="0">
      <selection activeCell="D3" sqref="D3"/>
    </sheetView>
  </sheetViews>
  <sheetFormatPr baseColWidth="10" defaultRowHeight="12.75" x14ac:dyDescent="0.2"/>
  <cols>
    <col min="1" max="1" width="31.42578125" style="343" customWidth="1"/>
    <col min="2" max="2" width="12.7109375" style="350" customWidth="1"/>
    <col min="3" max="7" width="11.42578125" style="343"/>
    <col min="8" max="8" width="11.42578125" style="350"/>
    <col min="9" max="16" width="11.42578125" style="343"/>
    <col min="17" max="17" width="11" style="343" customWidth="1"/>
    <col min="18" max="37" width="11.42578125" style="343"/>
    <col min="38" max="38" width="32.140625" style="343" customWidth="1"/>
    <col min="39" max="39" width="13.28515625" style="343" customWidth="1"/>
    <col min="40" max="40" width="6.42578125" style="343" customWidth="1"/>
    <col min="41" max="41" width="6.28515625" style="343" customWidth="1"/>
    <col min="42" max="42" width="31.5703125" style="343" customWidth="1"/>
    <col min="43" max="43" width="11.42578125" style="343"/>
    <col min="44" max="44" width="4.85546875" style="343" customWidth="1"/>
    <col min="45" max="45" width="3.28515625" style="343" customWidth="1"/>
    <col min="46" max="46" width="32.85546875" style="343" bestFit="1" customWidth="1"/>
    <col min="47" max="16384" width="11.42578125" style="343"/>
  </cols>
  <sheetData>
    <row r="1" spans="1:47" ht="18" x14ac:dyDescent="0.25">
      <c r="A1" s="342" t="s">
        <v>598</v>
      </c>
      <c r="Q1" s="342"/>
      <c r="AL1" s="342" t="s">
        <v>600</v>
      </c>
    </row>
    <row r="2" spans="1:47" x14ac:dyDescent="0.2">
      <c r="T2" s="344"/>
    </row>
    <row r="3" spans="1:47" x14ac:dyDescent="0.2">
      <c r="D3" s="344" t="s">
        <v>428</v>
      </c>
      <c r="F3" s="343" t="s">
        <v>190</v>
      </c>
      <c r="AO3" s="344" t="s">
        <v>372</v>
      </c>
    </row>
    <row r="4" spans="1:47" x14ac:dyDescent="0.2">
      <c r="A4" s="596" t="s">
        <v>408</v>
      </c>
      <c r="B4" s="597"/>
      <c r="F4" s="495"/>
      <c r="G4" s="496"/>
      <c r="H4" s="497"/>
      <c r="I4" s="498"/>
      <c r="J4" s="343" t="s">
        <v>47</v>
      </c>
    </row>
    <row r="5" spans="1:47" x14ac:dyDescent="0.2">
      <c r="AL5" s="408" t="s">
        <v>515</v>
      </c>
    </row>
    <row r="6" spans="1:47" x14ac:dyDescent="0.2">
      <c r="A6" s="346" t="s">
        <v>409</v>
      </c>
      <c r="AP6" s="408" t="s">
        <v>516</v>
      </c>
    </row>
    <row r="7" spans="1:47" x14ac:dyDescent="0.2">
      <c r="A7" s="343" t="s">
        <v>512</v>
      </c>
      <c r="B7" s="353">
        <v>390922</v>
      </c>
      <c r="C7" s="350" t="s">
        <v>47</v>
      </c>
      <c r="D7" s="343" t="s">
        <v>423</v>
      </c>
      <c r="H7" s="117">
        <f>B7+B13+B18+B23+B28+B34+B38+B42+B46+B50</f>
        <v>390922</v>
      </c>
      <c r="AL7" s="343" t="s">
        <v>425</v>
      </c>
      <c r="AM7" s="343">
        <f>+H7</f>
        <v>390922</v>
      </c>
    </row>
    <row r="8" spans="1:47" x14ac:dyDescent="0.2">
      <c r="A8" s="343" t="s">
        <v>419</v>
      </c>
      <c r="B8" s="353">
        <v>0</v>
      </c>
      <c r="C8" s="350" t="s">
        <v>47</v>
      </c>
      <c r="D8" s="343" t="s">
        <v>424</v>
      </c>
      <c r="H8" s="117">
        <f>B8+B29</f>
        <v>0</v>
      </c>
      <c r="AL8" s="343" t="s">
        <v>463</v>
      </c>
      <c r="AM8" s="5">
        <f>B82</f>
        <v>0</v>
      </c>
      <c r="AP8" s="350" t="s">
        <v>517</v>
      </c>
      <c r="AT8" s="350" t="s">
        <v>519</v>
      </c>
    </row>
    <row r="9" spans="1:47" x14ac:dyDescent="0.2">
      <c r="A9" s="343" t="s">
        <v>427</v>
      </c>
      <c r="B9" s="353">
        <v>73497</v>
      </c>
      <c r="C9" s="350" t="s">
        <v>47</v>
      </c>
      <c r="H9" s="237"/>
      <c r="AL9" s="347" t="s">
        <v>137</v>
      </c>
      <c r="AM9" s="350">
        <f>+AM7-AM8</f>
        <v>390922</v>
      </c>
      <c r="AP9" s="350" t="s">
        <v>518</v>
      </c>
      <c r="AT9" s="350" t="s">
        <v>520</v>
      </c>
    </row>
    <row r="10" spans="1:47" x14ac:dyDescent="0.2">
      <c r="A10" s="343" t="s">
        <v>466</v>
      </c>
      <c r="B10" s="353">
        <v>0</v>
      </c>
      <c r="C10" s="350" t="s">
        <v>47</v>
      </c>
      <c r="D10" s="343" t="s">
        <v>403</v>
      </c>
      <c r="H10" s="117">
        <f>B14+B19+B24+B30+B35+B51</f>
        <v>0</v>
      </c>
      <c r="AL10" s="343" t="s">
        <v>9</v>
      </c>
      <c r="AM10" s="5">
        <f>IF(AM7=0,0,VLOOKUP($AM$9,Anual,1))</f>
        <v>249243.49</v>
      </c>
    </row>
    <row r="11" spans="1:47" x14ac:dyDescent="0.2">
      <c r="D11" s="343" t="s">
        <v>93</v>
      </c>
      <c r="H11" s="117">
        <f>B9+B15+B20+B25+B31+B39+B43+B52</f>
        <v>73497</v>
      </c>
      <c r="AL11" s="343" t="s">
        <v>10</v>
      </c>
      <c r="AM11" s="343">
        <f>+AM9-AM10</f>
        <v>141678.51</v>
      </c>
      <c r="AP11" s="343" t="s">
        <v>425</v>
      </c>
      <c r="AQ11" s="343">
        <f>AM7</f>
        <v>390922</v>
      </c>
      <c r="AT11" s="343" t="s">
        <v>425</v>
      </c>
      <c r="AU11" s="343">
        <f>AM7</f>
        <v>390922</v>
      </c>
    </row>
    <row r="12" spans="1:47" x14ac:dyDescent="0.2">
      <c r="A12" s="346" t="s">
        <v>410</v>
      </c>
      <c r="D12" s="343" t="s">
        <v>422</v>
      </c>
      <c r="H12" s="117">
        <f>B47</f>
        <v>0</v>
      </c>
      <c r="AL12" s="343" t="s">
        <v>11</v>
      </c>
      <c r="AM12" s="73">
        <f>IF(AM7=0,0,VLOOKUP($AM$9,Anual,4))</f>
        <v>0.23519999999999999</v>
      </c>
      <c r="AP12" s="343" t="s">
        <v>463</v>
      </c>
      <c r="AQ12" s="5">
        <f>AM8</f>
        <v>0</v>
      </c>
      <c r="AT12" s="343" t="s">
        <v>463</v>
      </c>
      <c r="AU12" s="5">
        <f>+B84</f>
        <v>0</v>
      </c>
    </row>
    <row r="13" spans="1:47" x14ac:dyDescent="0.2">
      <c r="A13" s="343" t="s">
        <v>447</v>
      </c>
      <c r="B13" s="353">
        <v>0</v>
      </c>
      <c r="C13" s="350" t="s">
        <v>47</v>
      </c>
      <c r="AL13" s="343" t="s">
        <v>426</v>
      </c>
      <c r="AM13" s="343">
        <f>+ROUND(AM11*AM12,2)</f>
        <v>33322.79</v>
      </c>
      <c r="AP13" s="347" t="s">
        <v>137</v>
      </c>
      <c r="AQ13" s="350">
        <f>+AQ11-AQ12</f>
        <v>390922</v>
      </c>
      <c r="AT13" s="347" t="s">
        <v>137</v>
      </c>
      <c r="AU13" s="350">
        <f>+AU11-AU12</f>
        <v>390922</v>
      </c>
    </row>
    <row r="14" spans="1:47" x14ac:dyDescent="0.2">
      <c r="A14" s="343" t="s">
        <v>403</v>
      </c>
      <c r="B14" s="353">
        <v>0</v>
      </c>
      <c r="C14" s="350" t="s">
        <v>47</v>
      </c>
      <c r="AL14" s="343" t="s">
        <v>13</v>
      </c>
      <c r="AM14" s="5">
        <f>IF(AM7=0,0,VLOOKUP($AM$9,Anual,3))</f>
        <v>39929.040000000001</v>
      </c>
      <c r="AP14" s="343" t="s">
        <v>9</v>
      </c>
      <c r="AQ14" s="5">
        <f>IF(AQ11=0,0,VLOOKUP($AM$9,Anual,1))</f>
        <v>249243.49</v>
      </c>
      <c r="AT14" s="343" t="s">
        <v>9</v>
      </c>
      <c r="AU14" s="5">
        <f>IF(AU11=0,0,VLOOKUP($AM$9,Anual,1))</f>
        <v>249243.49</v>
      </c>
    </row>
    <row r="15" spans="1:47" x14ac:dyDescent="0.2">
      <c r="A15" s="343" t="s">
        <v>404</v>
      </c>
      <c r="B15" s="353">
        <v>0</v>
      </c>
      <c r="C15" s="350" t="s">
        <v>47</v>
      </c>
      <c r="AL15" s="347" t="s">
        <v>112</v>
      </c>
      <c r="AM15" s="345">
        <f>IF(AM7=0,0,AM13+AM14)</f>
        <v>73251.83</v>
      </c>
      <c r="AP15" s="343" t="s">
        <v>10</v>
      </c>
      <c r="AQ15" s="343">
        <f>+AQ13-AQ14</f>
        <v>141678.51</v>
      </c>
      <c r="AT15" s="343" t="s">
        <v>10</v>
      </c>
      <c r="AU15" s="343">
        <f>+AU13-AU14</f>
        <v>141678.51</v>
      </c>
    </row>
    <row r="16" spans="1:47" x14ac:dyDescent="0.2">
      <c r="D16" s="343" t="s">
        <v>420</v>
      </c>
      <c r="H16" s="117">
        <f>+AM15</f>
        <v>73251.83</v>
      </c>
      <c r="AL16" s="343" t="s">
        <v>466</v>
      </c>
      <c r="AM16" s="345">
        <f>B10</f>
        <v>0</v>
      </c>
      <c r="AP16" s="343" t="s">
        <v>11</v>
      </c>
      <c r="AQ16" s="73">
        <f>IF(AQ11=0,0,VLOOKUP($AM$9,Anual,4))</f>
        <v>0.23519999999999999</v>
      </c>
      <c r="AT16" s="343" t="s">
        <v>11</v>
      </c>
      <c r="AU16" s="73">
        <f>IF(AU11=0,0,VLOOKUP($AM$9,Anual,4))</f>
        <v>0.23519999999999999</v>
      </c>
    </row>
    <row r="17" spans="1:47" x14ac:dyDescent="0.2">
      <c r="A17" s="346" t="s">
        <v>411</v>
      </c>
      <c r="D17" s="343" t="s">
        <v>445</v>
      </c>
      <c r="H17" s="117">
        <f>AQ31+AU31</f>
        <v>0</v>
      </c>
      <c r="AL17" s="347" t="s">
        <v>467</v>
      </c>
      <c r="AM17" s="345">
        <f>AM15-AM16</f>
        <v>73251.83</v>
      </c>
      <c r="AP17" s="343" t="s">
        <v>426</v>
      </c>
      <c r="AQ17" s="343">
        <f>+ROUND(AQ15*AQ16,2)</f>
        <v>33322.79</v>
      </c>
      <c r="AT17" s="343" t="s">
        <v>426</v>
      </c>
      <c r="AU17" s="343">
        <f>+ROUND(AU15*AU16,2)</f>
        <v>33322.79</v>
      </c>
    </row>
    <row r="18" spans="1:47" x14ac:dyDescent="0.2">
      <c r="A18" s="343" t="s">
        <v>406</v>
      </c>
      <c r="B18" s="353">
        <v>0</v>
      </c>
      <c r="C18" s="350" t="s">
        <v>47</v>
      </c>
      <c r="G18" s="347" t="s">
        <v>444</v>
      </c>
      <c r="H18" s="117">
        <f>SUM(H16:H17)</f>
        <v>73251.83</v>
      </c>
      <c r="AP18" s="343" t="s">
        <v>13</v>
      </c>
      <c r="AQ18" s="5">
        <f>IF(AQ11=0,0,VLOOKUP($AM$9,Anual,3))</f>
        <v>39929.040000000001</v>
      </c>
      <c r="AT18" s="343" t="s">
        <v>13</v>
      </c>
      <c r="AU18" s="5">
        <f>IF(AU11=0,0,VLOOKUP($AM$9,Anual,3))</f>
        <v>39929.040000000001</v>
      </c>
    </row>
    <row r="19" spans="1:47" x14ac:dyDescent="0.2">
      <c r="A19" s="343" t="s">
        <v>405</v>
      </c>
      <c r="B19" s="353">
        <v>0</v>
      </c>
      <c r="C19" s="350" t="s">
        <v>47</v>
      </c>
      <c r="D19" s="343" t="s">
        <v>140</v>
      </c>
      <c r="H19" s="237"/>
      <c r="AP19" s="347" t="s">
        <v>112</v>
      </c>
      <c r="AQ19" s="345">
        <f>IF(AQ11=0,0,AQ17+AQ18)</f>
        <v>73251.83</v>
      </c>
      <c r="AT19" s="347" t="s">
        <v>112</v>
      </c>
      <c r="AU19" s="345">
        <f>IF(AU11=0,0,AU17+AU18)</f>
        <v>73251.83</v>
      </c>
    </row>
    <row r="20" spans="1:47" x14ac:dyDescent="0.2">
      <c r="A20" s="343" t="s">
        <v>404</v>
      </c>
      <c r="B20" s="353">
        <v>0</v>
      </c>
      <c r="C20" s="350" t="s">
        <v>47</v>
      </c>
      <c r="H20" s="237"/>
      <c r="AL20" s="29"/>
      <c r="AM20" s="29"/>
      <c r="AQ20" s="410"/>
      <c r="AU20" s="410"/>
    </row>
    <row r="21" spans="1:47" x14ac:dyDescent="0.2">
      <c r="D21" s="343" t="s">
        <v>403</v>
      </c>
      <c r="H21" s="117">
        <f>+H10</f>
        <v>0</v>
      </c>
      <c r="AL21" s="29"/>
      <c r="AM21" s="359"/>
      <c r="AP21" s="347"/>
      <c r="AQ21" s="29"/>
      <c r="AT21" s="347"/>
      <c r="AU21" s="29"/>
    </row>
    <row r="22" spans="1:47" x14ac:dyDescent="0.2">
      <c r="A22" s="346" t="s">
        <v>412</v>
      </c>
      <c r="D22" s="343" t="s">
        <v>421</v>
      </c>
      <c r="H22" s="117">
        <f>+H11</f>
        <v>73497</v>
      </c>
      <c r="AL22" s="29"/>
      <c r="AM22" s="29"/>
    </row>
    <row r="23" spans="1:47" x14ac:dyDescent="0.2">
      <c r="A23" s="343" t="s">
        <v>406</v>
      </c>
      <c r="B23" s="353">
        <v>0</v>
      </c>
      <c r="C23" s="350" t="s">
        <v>47</v>
      </c>
      <c r="D23" s="343" t="s">
        <v>422</v>
      </c>
      <c r="H23" s="117">
        <f>+H12</f>
        <v>0</v>
      </c>
      <c r="AL23" s="29"/>
      <c r="AM23" s="29"/>
    </row>
    <row r="24" spans="1:47" x14ac:dyDescent="0.2">
      <c r="A24" s="343" t="s">
        <v>405</v>
      </c>
      <c r="B24" s="353">
        <v>0</v>
      </c>
      <c r="C24" s="350" t="s">
        <v>47</v>
      </c>
      <c r="G24" s="347" t="s">
        <v>433</v>
      </c>
      <c r="H24" s="117">
        <f>SUM(H21:H23)</f>
        <v>73497</v>
      </c>
      <c r="AL24" s="29"/>
      <c r="AM24" s="29"/>
      <c r="AP24" s="343" t="s">
        <v>351</v>
      </c>
      <c r="AQ24" s="351">
        <f>IF(AQ11=0,0,ROUND(AQ19/AQ11,4))</f>
        <v>0.18740000000000001</v>
      </c>
      <c r="AT24" s="343" t="s">
        <v>351</v>
      </c>
      <c r="AU24" s="351">
        <f>IF(AU11=0,0,ROUND(AU19/AU11,4))</f>
        <v>0.18740000000000001</v>
      </c>
    </row>
    <row r="25" spans="1:47" x14ac:dyDescent="0.2">
      <c r="A25" s="343" t="s">
        <v>404</v>
      </c>
      <c r="B25" s="353">
        <v>0</v>
      </c>
      <c r="C25" s="350" t="s">
        <v>47</v>
      </c>
      <c r="H25" s="237"/>
      <c r="AL25" s="29"/>
      <c r="AM25" s="29"/>
    </row>
    <row r="26" spans="1:47" x14ac:dyDescent="0.2">
      <c r="G26" s="347" t="s">
        <v>201</v>
      </c>
      <c r="H26" s="117">
        <f>IF(H18&gt;H24,H18-H24,0)</f>
        <v>0</v>
      </c>
      <c r="AL26" s="29"/>
      <c r="AM26" s="29"/>
      <c r="AP26" s="343" t="s">
        <v>429</v>
      </c>
      <c r="AT26" s="343" t="s">
        <v>429</v>
      </c>
    </row>
    <row r="27" spans="1:47" x14ac:dyDescent="0.2">
      <c r="A27" s="346" t="s">
        <v>413</v>
      </c>
      <c r="G27" s="347" t="s">
        <v>202</v>
      </c>
      <c r="H27" s="117">
        <f>+IF(H24&gt;H18,H24-H18,0)</f>
        <v>245.16999999999825</v>
      </c>
      <c r="AL27" s="29"/>
      <c r="AM27" s="29"/>
      <c r="AP27" s="343" t="s">
        <v>430</v>
      </c>
      <c r="AQ27" s="345">
        <f>B8</f>
        <v>0</v>
      </c>
      <c r="AT27" s="343" t="s">
        <v>430</v>
      </c>
      <c r="AU27" s="345">
        <f>B29</f>
        <v>0</v>
      </c>
    </row>
    <row r="28" spans="1:47" x14ac:dyDescent="0.2">
      <c r="A28" s="343" t="s">
        <v>513</v>
      </c>
      <c r="B28" s="353">
        <v>0</v>
      </c>
      <c r="C28" s="350" t="s">
        <v>47</v>
      </c>
      <c r="AL28" s="29"/>
      <c r="AM28" s="29"/>
    </row>
    <row r="29" spans="1:47" x14ac:dyDescent="0.2">
      <c r="A29" s="343" t="s">
        <v>514</v>
      </c>
      <c r="B29" s="353">
        <v>0</v>
      </c>
      <c r="C29" s="350" t="s">
        <v>47</v>
      </c>
      <c r="AL29" s="29"/>
      <c r="AM29" s="29"/>
    </row>
    <row r="30" spans="1:47" x14ac:dyDescent="0.2">
      <c r="A30" s="343" t="s">
        <v>403</v>
      </c>
      <c r="B30" s="353">
        <v>0</v>
      </c>
      <c r="C30" s="350" t="s">
        <v>47</v>
      </c>
      <c r="AL30" s="29"/>
      <c r="AM30" s="29"/>
      <c r="AP30" s="343" t="s">
        <v>431</v>
      </c>
      <c r="AT30" s="343" t="s">
        <v>431</v>
      </c>
    </row>
    <row r="31" spans="1:47" x14ac:dyDescent="0.2">
      <c r="A31" s="343" t="s">
        <v>404</v>
      </c>
      <c r="B31" s="353">
        <v>0</v>
      </c>
      <c r="C31" s="350" t="s">
        <v>47</v>
      </c>
      <c r="AP31" s="343" t="s">
        <v>432</v>
      </c>
      <c r="AQ31" s="345">
        <f>ROUND(AQ24*AQ27,2)</f>
        <v>0</v>
      </c>
      <c r="AT31" s="343" t="s">
        <v>432</v>
      </c>
      <c r="AU31" s="345">
        <f>ROUND(AU24*AU27,2)</f>
        <v>0</v>
      </c>
    </row>
    <row r="33" spans="1:3" x14ac:dyDescent="0.2">
      <c r="A33" s="346" t="s">
        <v>414</v>
      </c>
    </row>
    <row r="34" spans="1:3" x14ac:dyDescent="0.2">
      <c r="A34" s="343" t="s">
        <v>406</v>
      </c>
      <c r="B34" s="353">
        <v>0</v>
      </c>
      <c r="C34" s="350" t="s">
        <v>47</v>
      </c>
    </row>
    <row r="35" spans="1:3" x14ac:dyDescent="0.2">
      <c r="A35" s="343" t="s">
        <v>405</v>
      </c>
      <c r="B35" s="353">
        <v>0</v>
      </c>
      <c r="C35" s="350" t="s">
        <v>47</v>
      </c>
    </row>
    <row r="36" spans="1:3" x14ac:dyDescent="0.2">
      <c r="A36" s="348"/>
    </row>
    <row r="37" spans="1:3" x14ac:dyDescent="0.2">
      <c r="A37" s="349" t="s">
        <v>415</v>
      </c>
    </row>
    <row r="38" spans="1:3" x14ac:dyDescent="0.2">
      <c r="A38" s="343" t="s">
        <v>406</v>
      </c>
      <c r="B38" s="353">
        <v>0</v>
      </c>
      <c r="C38" s="350" t="s">
        <v>47</v>
      </c>
    </row>
    <row r="39" spans="1:3" x14ac:dyDescent="0.2">
      <c r="A39" s="343" t="s">
        <v>404</v>
      </c>
      <c r="B39" s="353">
        <v>0</v>
      </c>
      <c r="C39" s="350" t="s">
        <v>47</v>
      </c>
    </row>
    <row r="41" spans="1:3" x14ac:dyDescent="0.2">
      <c r="A41" s="346" t="s">
        <v>416</v>
      </c>
    </row>
    <row r="42" spans="1:3" x14ac:dyDescent="0.2">
      <c r="A42" s="343" t="s">
        <v>406</v>
      </c>
      <c r="B42" s="353">
        <v>0</v>
      </c>
      <c r="C42" s="350" t="s">
        <v>47</v>
      </c>
    </row>
    <row r="43" spans="1:3" x14ac:dyDescent="0.2">
      <c r="A43" s="343" t="s">
        <v>404</v>
      </c>
      <c r="B43" s="353">
        <v>0</v>
      </c>
      <c r="C43" s="350" t="s">
        <v>47</v>
      </c>
    </row>
    <row r="45" spans="1:3" x14ac:dyDescent="0.2">
      <c r="A45" s="346" t="s">
        <v>417</v>
      </c>
    </row>
    <row r="46" spans="1:3" x14ac:dyDescent="0.2">
      <c r="A46" s="343" t="s">
        <v>406</v>
      </c>
      <c r="B46" s="353">
        <v>0</v>
      </c>
      <c r="C46" s="350" t="s">
        <v>47</v>
      </c>
    </row>
    <row r="47" spans="1:3" x14ac:dyDescent="0.2">
      <c r="A47" s="343" t="s">
        <v>407</v>
      </c>
      <c r="B47" s="353">
        <v>0</v>
      </c>
      <c r="C47" s="350" t="s">
        <v>47</v>
      </c>
    </row>
    <row r="49" spans="1:3" x14ac:dyDescent="0.2">
      <c r="A49" s="346" t="s">
        <v>418</v>
      </c>
    </row>
    <row r="50" spans="1:3" x14ac:dyDescent="0.2">
      <c r="A50" s="343" t="s">
        <v>406</v>
      </c>
      <c r="B50" s="353">
        <v>0</v>
      </c>
      <c r="C50" s="350" t="s">
        <v>47</v>
      </c>
    </row>
    <row r="51" spans="1:3" x14ac:dyDescent="0.2">
      <c r="A51" s="343" t="s">
        <v>405</v>
      </c>
      <c r="B51" s="353">
        <v>0</v>
      </c>
      <c r="C51" s="350" t="s">
        <v>47</v>
      </c>
    </row>
    <row r="52" spans="1:3" x14ac:dyDescent="0.2">
      <c r="A52" s="343" t="s">
        <v>404</v>
      </c>
      <c r="B52" s="353">
        <v>0</v>
      </c>
      <c r="C52" s="350" t="s">
        <v>47</v>
      </c>
    </row>
    <row r="56" spans="1:3" x14ac:dyDescent="0.2">
      <c r="A56" s="355" t="s">
        <v>446</v>
      </c>
      <c r="B56" s="356"/>
    </row>
    <row r="58" spans="1:3" x14ac:dyDescent="0.2">
      <c r="A58" s="343" t="s">
        <v>448</v>
      </c>
    </row>
    <row r="59" spans="1:3" x14ac:dyDescent="0.2">
      <c r="A59" s="343" t="s">
        <v>449</v>
      </c>
      <c r="B59" s="353">
        <v>0</v>
      </c>
      <c r="C59" s="350" t="s">
        <v>47</v>
      </c>
    </row>
    <row r="61" spans="1:3" x14ac:dyDescent="0.2">
      <c r="A61" s="343" t="s">
        <v>450</v>
      </c>
      <c r="B61" s="353">
        <v>0</v>
      </c>
      <c r="C61" s="350" t="s">
        <v>47</v>
      </c>
    </row>
    <row r="63" spans="1:3" x14ac:dyDescent="0.2">
      <c r="A63" s="343" t="s">
        <v>451</v>
      </c>
    </row>
    <row r="64" spans="1:3" x14ac:dyDescent="0.2">
      <c r="A64" s="343" t="s">
        <v>452</v>
      </c>
      <c r="B64" s="353">
        <v>0</v>
      </c>
      <c r="C64" s="350" t="s">
        <v>47</v>
      </c>
    </row>
    <row r="66" spans="1:3" x14ac:dyDescent="0.2">
      <c r="A66" s="343" t="s">
        <v>453</v>
      </c>
    </row>
    <row r="67" spans="1:3" x14ac:dyDescent="0.2">
      <c r="A67" s="343" t="s">
        <v>454</v>
      </c>
      <c r="B67" s="353">
        <v>0</v>
      </c>
      <c r="C67" s="350" t="s">
        <v>47</v>
      </c>
    </row>
    <row r="69" spans="1:3" x14ac:dyDescent="0.2">
      <c r="A69" s="343" t="s">
        <v>455</v>
      </c>
    </row>
    <row r="70" spans="1:3" x14ac:dyDescent="0.2">
      <c r="A70" s="343" t="s">
        <v>456</v>
      </c>
      <c r="B70" s="353">
        <v>0</v>
      </c>
      <c r="C70" s="350" t="s">
        <v>47</v>
      </c>
    </row>
    <row r="72" spans="1:3" x14ac:dyDescent="0.2">
      <c r="A72" s="343" t="s">
        <v>457</v>
      </c>
    </row>
    <row r="73" spans="1:3" x14ac:dyDescent="0.2">
      <c r="A73" s="343" t="s">
        <v>458</v>
      </c>
      <c r="B73" s="353">
        <v>0</v>
      </c>
      <c r="C73" s="350" t="s">
        <v>47</v>
      </c>
    </row>
    <row r="75" spans="1:3" x14ac:dyDescent="0.2">
      <c r="A75" s="343" t="s">
        <v>459</v>
      </c>
    </row>
    <row r="76" spans="1:3" x14ac:dyDescent="0.2">
      <c r="A76" s="343" t="s">
        <v>460</v>
      </c>
      <c r="B76" s="353">
        <v>0</v>
      </c>
      <c r="C76" s="350" t="s">
        <v>47</v>
      </c>
    </row>
    <row r="78" spans="1:3" x14ac:dyDescent="0.2">
      <c r="A78" s="343" t="s">
        <v>461</v>
      </c>
    </row>
    <row r="79" spans="1:3" x14ac:dyDescent="0.2">
      <c r="A79" s="343" t="s">
        <v>462</v>
      </c>
      <c r="B79" s="353">
        <v>0</v>
      </c>
      <c r="C79" s="350" t="s">
        <v>47</v>
      </c>
    </row>
    <row r="82" spans="1:2" x14ac:dyDescent="0.2">
      <c r="A82" s="350" t="s">
        <v>521</v>
      </c>
      <c r="B82" s="409">
        <f>SUM(B59:B79)</f>
        <v>0</v>
      </c>
    </row>
    <row r="84" spans="1:2" x14ac:dyDescent="0.2">
      <c r="B84" s="411">
        <f>SUM(B67:B79)</f>
        <v>0</v>
      </c>
    </row>
  </sheetData>
  <sheetProtection password="BB3C" sheet="1" objects="1" scenarios="1"/>
  <mergeCells count="1">
    <mergeCell ref="A4:B4"/>
  </mergeCells>
  <phoneticPr fontId="22" type="noConversion"/>
  <hyperlinks>
    <hyperlink ref="AO3" location="Anual_General!A1" display="Regresa al Menú Anterior"/>
    <hyperlink ref="D3" location="'Menú Principa'!A1" display="Regresa al Menú anterior"/>
  </hyperlinks>
  <pageMargins left="0.74803149606299213" right="0.74803149606299213" top="0.98425196850393704" bottom="0.98425196850393704" header="0" footer="0"/>
  <pageSetup scale="91" orientation="landscape" horizontalDpi="4294967295" verticalDpi="300" r:id="rId1"/>
  <headerFooter alignWithMargins="0"/>
  <ignoredErrors>
    <ignoredError sqref="AQ14 AU14 AM10" formula="1"/>
  </ignoredErrors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A1:AF33"/>
  <sheetViews>
    <sheetView showGridLines="0" showRowColHeaders="0" workbookViewId="0">
      <selection activeCell="C13" sqref="C13"/>
    </sheetView>
  </sheetViews>
  <sheetFormatPr baseColWidth="10" defaultRowHeight="12.75" x14ac:dyDescent="0.2"/>
  <cols>
    <col min="1" max="1" width="29.42578125" style="1" customWidth="1"/>
    <col min="2" max="2" width="3.28515625" style="1" customWidth="1"/>
    <col min="3" max="3" width="13.140625" style="15" customWidth="1"/>
    <col min="4" max="5" width="11.42578125" style="1"/>
    <col min="6" max="6" width="29" style="1" customWidth="1"/>
    <col min="7" max="7" width="3.7109375" style="1" customWidth="1"/>
    <col min="8" max="20" width="11.42578125" style="1"/>
    <col min="21" max="21" width="20.42578125" style="1" customWidth="1"/>
    <col min="22" max="22" width="13.42578125" style="1" customWidth="1"/>
    <col min="23" max="23" width="11.42578125" style="1"/>
    <col min="24" max="24" width="18" style="1" customWidth="1"/>
    <col min="25" max="27" width="11.42578125" style="1"/>
    <col min="28" max="28" width="27.85546875" style="1" customWidth="1"/>
    <col min="29" max="30" width="11.42578125" style="1"/>
    <col min="31" max="31" width="18.42578125" style="1" customWidth="1"/>
    <col min="32" max="16384" width="11.42578125" style="1"/>
  </cols>
  <sheetData>
    <row r="1" spans="1:32" ht="18" x14ac:dyDescent="0.25">
      <c r="A1" s="173" t="s">
        <v>392</v>
      </c>
    </row>
    <row r="2" spans="1:32" ht="18" x14ac:dyDescent="0.25">
      <c r="A2" s="173" t="s">
        <v>592</v>
      </c>
    </row>
    <row r="3" spans="1:32" x14ac:dyDescent="0.2">
      <c r="A3" s="1" t="s">
        <v>393</v>
      </c>
      <c r="G3" s="23" t="s">
        <v>372</v>
      </c>
    </row>
    <row r="4" spans="1:32" x14ac:dyDescent="0.2">
      <c r="A4" s="15" t="str">
        <f>Enajenacion!A3</f>
        <v>Ejercicio Fiscal de 2010</v>
      </c>
      <c r="C4" s="1"/>
      <c r="U4" s="335" t="s">
        <v>384</v>
      </c>
      <c r="AB4" s="335" t="s">
        <v>384</v>
      </c>
    </row>
    <row r="5" spans="1:32" x14ac:dyDescent="0.2">
      <c r="Y5" s="23" t="s">
        <v>468</v>
      </c>
      <c r="AF5" s="23" t="s">
        <v>468</v>
      </c>
    </row>
    <row r="6" spans="1:32" ht="15" x14ac:dyDescent="0.35">
      <c r="A6" s="489" t="s">
        <v>586</v>
      </c>
      <c r="F6" s="490" t="s">
        <v>587</v>
      </c>
      <c r="U6" s="1" t="s">
        <v>385</v>
      </c>
      <c r="AB6" s="1" t="s">
        <v>385</v>
      </c>
    </row>
    <row r="7" spans="1:32" x14ac:dyDescent="0.2">
      <c r="J7" s="491"/>
    </row>
    <row r="8" spans="1:32" x14ac:dyDescent="0.2">
      <c r="A8" s="1" t="s">
        <v>376</v>
      </c>
      <c r="B8" s="59" t="s">
        <v>47</v>
      </c>
      <c r="C8" s="77">
        <v>7071</v>
      </c>
      <c r="F8" s="1" t="s">
        <v>376</v>
      </c>
      <c r="G8" s="59" t="s">
        <v>47</v>
      </c>
      <c r="H8" s="77">
        <v>0</v>
      </c>
      <c r="U8" s="1" t="s">
        <v>233</v>
      </c>
      <c r="V8" s="82">
        <f>+C8</f>
        <v>7071</v>
      </c>
      <c r="AB8" s="1" t="s">
        <v>233</v>
      </c>
      <c r="AC8" s="82">
        <f>H8</f>
        <v>0</v>
      </c>
    </row>
    <row r="9" spans="1:32" x14ac:dyDescent="0.2">
      <c r="H9" s="15"/>
      <c r="U9" s="1" t="s">
        <v>300</v>
      </c>
      <c r="V9" s="216">
        <f>+VLOOKUP($V$8,Mensual,1)</f>
        <v>4210.42</v>
      </c>
      <c r="AB9" s="1" t="s">
        <v>300</v>
      </c>
      <c r="AC9" s="216">
        <f>+VLOOKUP($V$8,Mensual,1)</f>
        <v>4210.42</v>
      </c>
    </row>
    <row r="10" spans="1:32" x14ac:dyDescent="0.2">
      <c r="A10" s="1" t="s">
        <v>377</v>
      </c>
      <c r="B10" s="59" t="s">
        <v>47</v>
      </c>
      <c r="C10" s="77">
        <v>3535.95</v>
      </c>
      <c r="F10" s="1" t="s">
        <v>588</v>
      </c>
      <c r="G10" s="59" t="s">
        <v>47</v>
      </c>
      <c r="H10" s="77">
        <v>0</v>
      </c>
      <c r="U10" s="1" t="s">
        <v>10</v>
      </c>
      <c r="V10" s="82">
        <f>+V8-V9</f>
        <v>2860.58</v>
      </c>
      <c r="AB10" s="1" t="s">
        <v>10</v>
      </c>
      <c r="AC10" s="82">
        <f>+AC8-AC9</f>
        <v>-4210.42</v>
      </c>
    </row>
    <row r="11" spans="1:32" x14ac:dyDescent="0.2">
      <c r="H11" s="15"/>
      <c r="U11" s="1" t="s">
        <v>11</v>
      </c>
      <c r="V11" s="334">
        <f>+VLOOKUP($V$8,Mensual,4)</f>
        <v>0.10880000000000001</v>
      </c>
      <c r="AB11" s="1" t="s">
        <v>11</v>
      </c>
      <c r="AC11" s="334">
        <f>+VLOOKUP($V$8,Mensual,4)</f>
        <v>0.10880000000000001</v>
      </c>
    </row>
    <row r="12" spans="1:32" x14ac:dyDescent="0.2">
      <c r="A12" s="1" t="s">
        <v>378</v>
      </c>
      <c r="B12" s="59"/>
      <c r="C12" s="126">
        <f>Semanal!J2</f>
        <v>57.46</v>
      </c>
      <c r="F12" s="1" t="s">
        <v>378</v>
      </c>
      <c r="G12" s="59"/>
      <c r="H12" s="126">
        <f>C12</f>
        <v>57.46</v>
      </c>
      <c r="U12" s="1" t="s">
        <v>12</v>
      </c>
      <c r="V12" s="82">
        <f>+ROUND(V10*V11,2)</f>
        <v>311.23</v>
      </c>
      <c r="AB12" s="1" t="s">
        <v>12</v>
      </c>
      <c r="AC12" s="82">
        <f>+ROUND(AC10*AC11,2)</f>
        <v>-458.09</v>
      </c>
    </row>
    <row r="13" spans="1:32" x14ac:dyDescent="0.2">
      <c r="H13" s="15"/>
      <c r="U13" s="1" t="s">
        <v>13</v>
      </c>
      <c r="V13" s="216">
        <f>+VLOOKUP($V$8,Mensual,3)</f>
        <v>247.23</v>
      </c>
      <c r="AB13" s="1" t="s">
        <v>13</v>
      </c>
      <c r="AC13" s="216">
        <f>+VLOOKUP($V$8,Mensual,3)</f>
        <v>247.23</v>
      </c>
    </row>
    <row r="14" spans="1:32" x14ac:dyDescent="0.2">
      <c r="H14" s="15"/>
      <c r="U14" s="1" t="s">
        <v>14</v>
      </c>
      <c r="V14" s="78">
        <f>+V12+V13</f>
        <v>558.46</v>
      </c>
      <c r="AB14" s="1" t="s">
        <v>14</v>
      </c>
      <c r="AC14" s="78">
        <f>+AC12+AC13</f>
        <v>-210.85999999999999</v>
      </c>
    </row>
    <row r="15" spans="1:32" x14ac:dyDescent="0.2">
      <c r="A15" s="336" t="s">
        <v>379</v>
      </c>
      <c r="F15" s="336" t="s">
        <v>379</v>
      </c>
      <c r="H15" s="15"/>
    </row>
    <row r="16" spans="1:32" x14ac:dyDescent="0.2">
      <c r="C16" s="383"/>
      <c r="H16" s="383"/>
    </row>
    <row r="17" spans="1:32" x14ac:dyDescent="0.2">
      <c r="A17" s="1" t="s">
        <v>380</v>
      </c>
      <c r="C17" s="382">
        <f>IF(C10&gt;(C12*30),C12*30,C10)</f>
        <v>1723.8</v>
      </c>
      <c r="F17" s="1" t="s">
        <v>590</v>
      </c>
      <c r="H17" s="382">
        <f>IF(H10&gt;(H12*15),H12*15,H10)</f>
        <v>0</v>
      </c>
      <c r="U17" s="1" t="s">
        <v>386</v>
      </c>
      <c r="AB17" s="1" t="s">
        <v>386</v>
      </c>
    </row>
    <row r="18" spans="1:32" x14ac:dyDescent="0.2">
      <c r="A18" s="1" t="s">
        <v>381</v>
      </c>
      <c r="C18" s="382">
        <f>+C10-C17</f>
        <v>1812.1499999999999</v>
      </c>
      <c r="F18" s="1" t="s">
        <v>591</v>
      </c>
      <c r="H18" s="382">
        <f>+H10-H17</f>
        <v>0</v>
      </c>
    </row>
    <row r="19" spans="1:32" x14ac:dyDescent="0.2">
      <c r="C19" s="383"/>
      <c r="H19" s="383"/>
      <c r="U19" s="1" t="s">
        <v>387</v>
      </c>
      <c r="V19" s="82">
        <f>ROUND((C18/365)*30.4,2)</f>
        <v>150.93</v>
      </c>
      <c r="AB19" s="1" t="s">
        <v>387</v>
      </c>
      <c r="AC19" s="82">
        <f>ROUND((H18/365)*30.4,2)</f>
        <v>0</v>
      </c>
    </row>
    <row r="20" spans="1:32" x14ac:dyDescent="0.2">
      <c r="A20" s="62" t="s">
        <v>382</v>
      </c>
      <c r="C20" s="383"/>
      <c r="F20" s="62" t="s">
        <v>2</v>
      </c>
      <c r="H20" s="383"/>
      <c r="V20" s="82"/>
      <c r="AC20" s="82"/>
    </row>
    <row r="21" spans="1:32" x14ac:dyDescent="0.2">
      <c r="A21" s="62" t="s">
        <v>383</v>
      </c>
      <c r="C21" s="382">
        <f>+V33</f>
        <v>197.16</v>
      </c>
      <c r="F21" s="62" t="s">
        <v>589</v>
      </c>
      <c r="H21" s="382">
        <f>AC33</f>
        <v>0</v>
      </c>
      <c r="U21" s="1" t="s">
        <v>388</v>
      </c>
      <c r="V21" s="82">
        <f>+C8+V19</f>
        <v>7221.93</v>
      </c>
      <c r="W21" s="1" t="s">
        <v>112</v>
      </c>
      <c r="X21" s="1" t="s">
        <v>233</v>
      </c>
      <c r="Y21" s="82">
        <f>+V21</f>
        <v>7221.93</v>
      </c>
      <c r="AB21" s="1" t="s">
        <v>388</v>
      </c>
      <c r="AC21" s="82">
        <f>+H8+AC19</f>
        <v>0</v>
      </c>
      <c r="AD21" s="1" t="s">
        <v>112</v>
      </c>
      <c r="AE21" s="1" t="s">
        <v>233</v>
      </c>
      <c r="AF21" s="82">
        <f>+AC21</f>
        <v>0</v>
      </c>
    </row>
    <row r="22" spans="1:32" x14ac:dyDescent="0.2">
      <c r="C22" s="383"/>
      <c r="V22" s="82"/>
      <c r="X22" s="1" t="s">
        <v>300</v>
      </c>
      <c r="Y22" s="216">
        <f>+VLOOKUP($Y$21,Mensual,1)</f>
        <v>4210.42</v>
      </c>
      <c r="AC22" s="82"/>
      <c r="AE22" s="1" t="s">
        <v>300</v>
      </c>
      <c r="AF22" s="216">
        <f>+VLOOKUP($Y$21,Mensual,1)</f>
        <v>4210.42</v>
      </c>
    </row>
    <row r="23" spans="1:32" x14ac:dyDescent="0.2">
      <c r="V23" s="82"/>
      <c r="X23" s="1" t="s">
        <v>10</v>
      </c>
      <c r="Y23" s="82">
        <f>+Y21-Y22</f>
        <v>3011.51</v>
      </c>
      <c r="AC23" s="82"/>
      <c r="AE23" s="1" t="s">
        <v>10</v>
      </c>
      <c r="AF23" s="82">
        <f>+AF21-AF22</f>
        <v>-4210.42</v>
      </c>
    </row>
    <row r="24" spans="1:32" x14ac:dyDescent="0.2">
      <c r="V24" s="82"/>
      <c r="X24" s="1" t="s">
        <v>11</v>
      </c>
      <c r="Y24" s="334">
        <f>+VLOOKUP($Y$21,Mensual,4)</f>
        <v>0.10880000000000001</v>
      </c>
      <c r="AC24" s="82"/>
      <c r="AE24" s="1" t="s">
        <v>11</v>
      </c>
      <c r="AF24" s="334">
        <f>+VLOOKUP($Y$21,Mensual,4)</f>
        <v>0.10880000000000001</v>
      </c>
    </row>
    <row r="25" spans="1:32" x14ac:dyDescent="0.2">
      <c r="V25" s="82"/>
      <c r="X25" s="1" t="s">
        <v>12</v>
      </c>
      <c r="Y25" s="82">
        <f>+ROUND(Y23*Y24,2)</f>
        <v>327.64999999999998</v>
      </c>
      <c r="AC25" s="82"/>
      <c r="AE25" s="1" t="s">
        <v>12</v>
      </c>
      <c r="AF25" s="82">
        <f>+ROUND(AF23*AF24,2)</f>
        <v>-458.09</v>
      </c>
    </row>
    <row r="26" spans="1:32" x14ac:dyDescent="0.2">
      <c r="V26" s="82"/>
      <c r="X26" s="1" t="s">
        <v>13</v>
      </c>
      <c r="Y26" s="216">
        <f>+VLOOKUP($Y$21,Mensual,3)</f>
        <v>247.23</v>
      </c>
      <c r="AC26" s="82"/>
      <c r="AE26" s="1" t="s">
        <v>13</v>
      </c>
      <c r="AF26" s="216">
        <f>+VLOOKUP($Y$21,Mensual,3)</f>
        <v>247.23</v>
      </c>
    </row>
    <row r="27" spans="1:32" x14ac:dyDescent="0.2">
      <c r="V27" s="82"/>
      <c r="X27" s="1" t="s">
        <v>14</v>
      </c>
      <c r="Y27" s="78">
        <f>+Y25+Y26</f>
        <v>574.88</v>
      </c>
      <c r="AC27" s="82"/>
      <c r="AE27" s="1" t="s">
        <v>14</v>
      </c>
      <c r="AF27" s="78">
        <f>+AF25+AF26</f>
        <v>-210.85999999999999</v>
      </c>
    </row>
    <row r="28" spans="1:32" x14ac:dyDescent="0.2">
      <c r="V28" s="82"/>
      <c r="AC28" s="82"/>
    </row>
    <row r="29" spans="1:32" x14ac:dyDescent="0.2">
      <c r="U29" s="1" t="s">
        <v>389</v>
      </c>
      <c r="V29" s="82">
        <f>+Y27-V14</f>
        <v>16.419999999999959</v>
      </c>
      <c r="AB29" s="1" t="s">
        <v>389</v>
      </c>
      <c r="AC29" s="82">
        <f>+AF27-AC14</f>
        <v>0</v>
      </c>
    </row>
    <row r="30" spans="1:32" x14ac:dyDescent="0.2">
      <c r="V30" s="82"/>
      <c r="AC30" s="82"/>
    </row>
    <row r="31" spans="1:32" x14ac:dyDescent="0.2">
      <c r="U31" s="1" t="s">
        <v>390</v>
      </c>
      <c r="V31" s="218">
        <f>ROUND(V29/V19,4)</f>
        <v>0.10879999999999999</v>
      </c>
      <c r="AB31" s="1" t="s">
        <v>390</v>
      </c>
      <c r="AC31" s="218" t="e">
        <f>ROUND(AC29/AC19,4)</f>
        <v>#DIV/0!</v>
      </c>
    </row>
    <row r="32" spans="1:32" x14ac:dyDescent="0.2">
      <c r="V32" s="82"/>
      <c r="AC32" s="82"/>
    </row>
    <row r="33" spans="21:29" x14ac:dyDescent="0.2">
      <c r="U33" s="1" t="s">
        <v>391</v>
      </c>
      <c r="V33" s="82">
        <f>IF(V19=0,0,ROUND(C18*V31,2))</f>
        <v>197.16</v>
      </c>
      <c r="AB33" s="1" t="s">
        <v>391</v>
      </c>
      <c r="AC33" s="82">
        <f>IF(AC19=0,0,ROUND(H18*AC31,2))</f>
        <v>0</v>
      </c>
    </row>
  </sheetData>
  <sheetProtection sheet="1"/>
  <phoneticPr fontId="22" type="noConversion"/>
  <hyperlinks>
    <hyperlink ref="G3" location="'Menú Principa'!A1" display="Regresa al Menú Anterior"/>
    <hyperlink ref="Y5" location="Aguinaldos!A1" display="Regresar"/>
    <hyperlink ref="AF5" location="Aguinaldos!A1" display="Regresar"/>
  </hyperlinks>
  <pageMargins left="0.74803149606299213" right="0.74803149606299213" top="0.98425196850393704" bottom="0.98425196850393704" header="0" footer="0"/>
  <pageSetup scale="99" orientation="landscape" horizontalDpi="4294967295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V213"/>
  <sheetViews>
    <sheetView showGridLines="0" showRowColHeader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baseColWidth="10" defaultRowHeight="12.75" x14ac:dyDescent="0.2"/>
  <cols>
    <col min="1" max="1" width="48" style="1" customWidth="1"/>
    <col min="2" max="2" width="18.140625" style="147" bestFit="1" customWidth="1"/>
    <col min="3" max="3" width="20" style="1" bestFit="1" customWidth="1"/>
    <col min="4" max="6" width="11.42578125" style="165"/>
    <col min="7" max="8" width="11.42578125" style="1"/>
    <col min="9" max="9" width="11.7109375" style="1" customWidth="1"/>
    <col min="10" max="11" width="11.42578125" style="1"/>
    <col min="12" max="12" width="12.85546875" style="1" bestFit="1" customWidth="1"/>
    <col min="13" max="13" width="11.42578125" style="1"/>
    <col min="14" max="14" width="15.28515625" style="1" hidden="1" customWidth="1"/>
    <col min="15" max="15" width="12.28515625" style="1" hidden="1" customWidth="1"/>
    <col min="16" max="17" width="0" style="1" hidden="1" customWidth="1"/>
    <col min="18" max="18" width="12.28515625" style="1" hidden="1" customWidth="1"/>
    <col min="19" max="20" width="0" style="1" hidden="1" customWidth="1"/>
    <col min="21" max="21" width="12.5703125" style="1" customWidth="1"/>
    <col min="22" max="16384" width="11.42578125" style="1"/>
  </cols>
  <sheetData>
    <row r="1" spans="1:22" ht="18" x14ac:dyDescent="0.25">
      <c r="A1" s="173" t="s">
        <v>244</v>
      </c>
    </row>
    <row r="2" spans="1:22" x14ac:dyDescent="0.2">
      <c r="A2" s="175" t="s">
        <v>56</v>
      </c>
      <c r="U2" s="166" t="s">
        <v>239</v>
      </c>
    </row>
    <row r="3" spans="1:22" x14ac:dyDescent="0.2">
      <c r="A3" s="166"/>
      <c r="B3" s="166"/>
      <c r="C3" s="166" t="s">
        <v>236</v>
      </c>
      <c r="D3" s="167"/>
      <c r="E3" s="167"/>
      <c r="F3" s="167"/>
      <c r="G3" s="166"/>
      <c r="H3" s="166"/>
      <c r="I3" s="166" t="s">
        <v>231</v>
      </c>
      <c r="J3" s="166" t="s">
        <v>226</v>
      </c>
      <c r="K3" s="166" t="s">
        <v>226</v>
      </c>
      <c r="L3" s="166"/>
      <c r="M3" s="166"/>
      <c r="U3" s="168" t="s">
        <v>242</v>
      </c>
    </row>
    <row r="4" spans="1:22" x14ac:dyDescent="0.2">
      <c r="A4" s="168"/>
      <c r="B4" s="168" t="s">
        <v>237</v>
      </c>
      <c r="C4" s="168" t="s">
        <v>400</v>
      </c>
      <c r="D4" s="169" t="s">
        <v>227</v>
      </c>
      <c r="E4" s="169" t="s">
        <v>227</v>
      </c>
      <c r="F4" s="169" t="s">
        <v>229</v>
      </c>
      <c r="G4" s="168" t="s">
        <v>233</v>
      </c>
      <c r="H4" s="168" t="s">
        <v>228</v>
      </c>
      <c r="I4" s="168" t="s">
        <v>230</v>
      </c>
      <c r="J4" s="168" t="s">
        <v>256</v>
      </c>
      <c r="K4" s="168" t="s">
        <v>256</v>
      </c>
      <c r="L4" s="168" t="s">
        <v>0</v>
      </c>
      <c r="M4" s="168" t="s">
        <v>239</v>
      </c>
      <c r="N4" s="603" t="s">
        <v>171</v>
      </c>
      <c r="O4" s="604"/>
      <c r="P4" s="604"/>
      <c r="Q4" s="604"/>
      <c r="R4" s="604"/>
      <c r="S4" s="604"/>
      <c r="T4" s="605"/>
      <c r="U4" s="168" t="s">
        <v>398</v>
      </c>
    </row>
    <row r="5" spans="1:22" x14ac:dyDescent="0.2">
      <c r="A5" s="170" t="s">
        <v>219</v>
      </c>
      <c r="B5" s="170" t="s">
        <v>243</v>
      </c>
      <c r="C5" s="170" t="s">
        <v>401</v>
      </c>
      <c r="D5" s="171" t="s">
        <v>235</v>
      </c>
      <c r="E5" s="171" t="s">
        <v>228</v>
      </c>
      <c r="F5" s="171" t="s">
        <v>230</v>
      </c>
      <c r="G5" s="170" t="s">
        <v>234</v>
      </c>
      <c r="H5" s="170" t="s">
        <v>232</v>
      </c>
      <c r="I5" s="170" t="s">
        <v>240</v>
      </c>
      <c r="J5" s="172" t="s">
        <v>241</v>
      </c>
      <c r="K5" s="172" t="s">
        <v>241</v>
      </c>
      <c r="L5" s="170" t="s">
        <v>238</v>
      </c>
      <c r="M5" s="170" t="s">
        <v>242</v>
      </c>
      <c r="O5" s="598" t="s">
        <v>396</v>
      </c>
      <c r="P5" s="599"/>
      <c r="Q5" s="600"/>
      <c r="R5" s="601" t="s">
        <v>397</v>
      </c>
      <c r="S5" s="602"/>
      <c r="T5" s="602"/>
      <c r="U5" s="170" t="s">
        <v>399</v>
      </c>
    </row>
    <row r="6" spans="1:22" x14ac:dyDescent="0.2">
      <c r="A6" s="59" t="s">
        <v>47</v>
      </c>
      <c r="B6" s="59" t="s">
        <v>47</v>
      </c>
      <c r="C6" s="59" t="s">
        <v>47</v>
      </c>
      <c r="D6" s="59" t="s">
        <v>47</v>
      </c>
      <c r="E6" s="59" t="s">
        <v>47</v>
      </c>
      <c r="F6" s="59" t="s">
        <v>47</v>
      </c>
      <c r="G6" s="59" t="s">
        <v>47</v>
      </c>
      <c r="H6" s="59"/>
      <c r="I6" s="59"/>
      <c r="J6" s="59" t="s">
        <v>47</v>
      </c>
      <c r="K6" s="59" t="s">
        <v>47</v>
      </c>
      <c r="N6" s="147" t="s">
        <v>395</v>
      </c>
      <c r="O6" s="147" t="s">
        <v>160</v>
      </c>
      <c r="P6" s="147" t="s">
        <v>394</v>
      </c>
      <c r="Q6" s="147" t="s">
        <v>161</v>
      </c>
    </row>
    <row r="7" spans="1:22" x14ac:dyDescent="0.2">
      <c r="A7" s="77" t="s">
        <v>136</v>
      </c>
      <c r="B7" s="176" t="s">
        <v>136</v>
      </c>
      <c r="C7" s="177">
        <v>38303</v>
      </c>
      <c r="D7" s="178">
        <v>12</v>
      </c>
      <c r="E7" s="178">
        <v>15</v>
      </c>
      <c r="F7" s="179">
        <v>0.25</v>
      </c>
      <c r="G7" s="77">
        <v>437</v>
      </c>
      <c r="H7" s="78">
        <f>ROUND((G7*E7)/365,2)</f>
        <v>17.96</v>
      </c>
      <c r="I7" s="78">
        <f>ROUND(((G7*D7)*F7)/365,2)</f>
        <v>3.59</v>
      </c>
      <c r="J7" s="77">
        <v>0</v>
      </c>
      <c r="K7" s="77">
        <v>0</v>
      </c>
      <c r="L7" s="78">
        <f>SUM(G7:K7)</f>
        <v>458.54999999999995</v>
      </c>
      <c r="M7" s="174">
        <f>IF(G7=0,0,ROUND(L7/G7,4))</f>
        <v>1.0492999999999999</v>
      </c>
      <c r="N7" s="339">
        <f ca="1">NOW()</f>
        <v>41284.323380902781</v>
      </c>
      <c r="O7" s="340">
        <f>YEAR(C7)</f>
        <v>2004</v>
      </c>
      <c r="P7" s="340">
        <f>DAY(C7)</f>
        <v>12</v>
      </c>
      <c r="Q7" s="340">
        <f>MONTH(C7)</f>
        <v>11</v>
      </c>
      <c r="R7" s="340">
        <f ca="1">YEAR(N7)</f>
        <v>2013</v>
      </c>
      <c r="S7" s="340">
        <f ca="1">MONTH(N7)</f>
        <v>1</v>
      </c>
      <c r="T7" s="340">
        <f ca="1">DAY(N7)</f>
        <v>10</v>
      </c>
      <c r="U7" s="357" t="str">
        <f ca="1">IF(C7="-","-",RIGHT("00"&amp;P7,2)&amp;"/"&amp;RIGHT("00"&amp;Q7,2)&amp;"/"&amp;R7)</f>
        <v>12/11/2013</v>
      </c>
      <c r="V7" s="341"/>
    </row>
    <row r="8" spans="1:22" x14ac:dyDescent="0.2">
      <c r="A8" s="77" t="s">
        <v>136</v>
      </c>
      <c r="B8" s="176" t="s">
        <v>136</v>
      </c>
      <c r="C8" s="177" t="s">
        <v>136</v>
      </c>
      <c r="D8" s="178">
        <v>0</v>
      </c>
      <c r="E8" s="178">
        <v>0</v>
      </c>
      <c r="F8" s="179">
        <v>0</v>
      </c>
      <c r="G8" s="77">
        <v>0</v>
      </c>
      <c r="H8" s="78">
        <f t="shared" ref="H8:H71" si="0">ROUND((G8*E8)/365,2)</f>
        <v>0</v>
      </c>
      <c r="I8" s="78">
        <f t="shared" ref="I8:I71" si="1">ROUND(((G8*D8)*F8)/365,2)</f>
        <v>0</v>
      </c>
      <c r="J8" s="77">
        <v>0</v>
      </c>
      <c r="K8" s="77">
        <v>0</v>
      </c>
      <c r="L8" s="78">
        <f t="shared" ref="L8:L71" si="2">SUM(G8:K8)</f>
        <v>0</v>
      </c>
      <c r="M8" s="174">
        <f>IF(G8=0,0,ROUND(L8/G8,4))</f>
        <v>0</v>
      </c>
      <c r="N8" s="339">
        <f ca="1">NOW()</f>
        <v>41284.323380902781</v>
      </c>
      <c r="O8" s="340" t="e">
        <f>YEAR(C8)</f>
        <v>#VALUE!</v>
      </c>
      <c r="P8" s="340" t="e">
        <f>DAY(C8)</f>
        <v>#VALUE!</v>
      </c>
      <c r="Q8" s="340" t="e">
        <f>MONTH(C8)</f>
        <v>#VALUE!</v>
      </c>
      <c r="R8" s="340">
        <f ca="1">YEAR(N8)</f>
        <v>2013</v>
      </c>
      <c r="S8" s="340">
        <f ca="1">MONTH(N8)</f>
        <v>1</v>
      </c>
      <c r="T8" s="340">
        <f ca="1">DAY(N8)</f>
        <v>10</v>
      </c>
      <c r="U8" s="357" t="str">
        <f>IF(C8="-","-",RIGHT("00"&amp;P8,2)&amp;"/"&amp;RIGHT("00"&amp;Q8,2)&amp;"/"&amp;R8)</f>
        <v>-</v>
      </c>
    </row>
    <row r="9" spans="1:22" x14ac:dyDescent="0.2">
      <c r="A9" s="77" t="s">
        <v>136</v>
      </c>
      <c r="B9" s="176" t="s">
        <v>136</v>
      </c>
      <c r="C9" s="177" t="s">
        <v>136</v>
      </c>
      <c r="D9" s="178">
        <v>0</v>
      </c>
      <c r="E9" s="178">
        <v>0</v>
      </c>
      <c r="F9" s="179">
        <v>0</v>
      </c>
      <c r="G9" s="77">
        <v>0</v>
      </c>
      <c r="H9" s="78">
        <f t="shared" si="0"/>
        <v>0</v>
      </c>
      <c r="I9" s="78">
        <f t="shared" si="1"/>
        <v>0</v>
      </c>
      <c r="J9" s="77">
        <v>0</v>
      </c>
      <c r="K9" s="77">
        <v>0</v>
      </c>
      <c r="L9" s="78">
        <f t="shared" si="2"/>
        <v>0</v>
      </c>
      <c r="M9" s="174">
        <f t="shared" ref="M9:M72" si="3">IF(G9=0,0,ROUND(L9/G9,4))</f>
        <v>0</v>
      </c>
      <c r="N9" s="339">
        <f t="shared" ref="N9:N72" ca="1" si="4">NOW()</f>
        <v>41284.323380902781</v>
      </c>
      <c r="O9" s="340" t="e">
        <f t="shared" ref="O9:O72" si="5">YEAR(C9)</f>
        <v>#VALUE!</v>
      </c>
      <c r="P9" s="340" t="e">
        <f t="shared" ref="P9:P72" si="6">DAY(C9)</f>
        <v>#VALUE!</v>
      </c>
      <c r="Q9" s="340" t="e">
        <f t="shared" ref="Q9:Q72" si="7">MONTH(C9)</f>
        <v>#VALUE!</v>
      </c>
      <c r="R9" s="340">
        <f t="shared" ref="R9:R72" ca="1" si="8">YEAR(N9)</f>
        <v>2013</v>
      </c>
      <c r="S9" s="340">
        <f t="shared" ref="S9:S72" ca="1" si="9">MONTH(N9)</f>
        <v>1</v>
      </c>
      <c r="T9" s="340">
        <f t="shared" ref="T9:T72" ca="1" si="10">DAY(N9)</f>
        <v>10</v>
      </c>
      <c r="U9" s="357" t="str">
        <f t="shared" ref="U9:U72" si="11">IF(C9="-","-",RIGHT("00"&amp;P9,2)&amp;"/"&amp;RIGHT("00"&amp;Q9,2)&amp;"/"&amp;R9)</f>
        <v>-</v>
      </c>
    </row>
    <row r="10" spans="1:22" x14ac:dyDescent="0.2">
      <c r="A10" s="77" t="s">
        <v>136</v>
      </c>
      <c r="B10" s="176" t="s">
        <v>136</v>
      </c>
      <c r="C10" s="177" t="s">
        <v>136</v>
      </c>
      <c r="D10" s="178">
        <v>0</v>
      </c>
      <c r="E10" s="178">
        <v>0</v>
      </c>
      <c r="F10" s="179">
        <v>0</v>
      </c>
      <c r="G10" s="77">
        <v>0</v>
      </c>
      <c r="H10" s="78">
        <f t="shared" si="0"/>
        <v>0</v>
      </c>
      <c r="I10" s="78">
        <f t="shared" si="1"/>
        <v>0</v>
      </c>
      <c r="J10" s="77">
        <v>0</v>
      </c>
      <c r="K10" s="77">
        <v>0</v>
      </c>
      <c r="L10" s="78">
        <f t="shared" si="2"/>
        <v>0</v>
      </c>
      <c r="M10" s="174">
        <f t="shared" si="3"/>
        <v>0</v>
      </c>
      <c r="N10" s="339">
        <f t="shared" ca="1" si="4"/>
        <v>41284.323380902781</v>
      </c>
      <c r="O10" s="340" t="e">
        <f t="shared" si="5"/>
        <v>#VALUE!</v>
      </c>
      <c r="P10" s="340" t="e">
        <f t="shared" si="6"/>
        <v>#VALUE!</v>
      </c>
      <c r="Q10" s="340" t="e">
        <f t="shared" si="7"/>
        <v>#VALUE!</v>
      </c>
      <c r="R10" s="340">
        <f t="shared" ca="1" si="8"/>
        <v>2013</v>
      </c>
      <c r="S10" s="340">
        <f t="shared" ca="1" si="9"/>
        <v>1</v>
      </c>
      <c r="T10" s="340">
        <f t="shared" ca="1" si="10"/>
        <v>10</v>
      </c>
      <c r="U10" s="357" t="str">
        <f t="shared" si="11"/>
        <v>-</v>
      </c>
    </row>
    <row r="11" spans="1:22" x14ac:dyDescent="0.2">
      <c r="A11" s="77" t="s">
        <v>136</v>
      </c>
      <c r="B11" s="176" t="s">
        <v>136</v>
      </c>
      <c r="C11" s="177" t="s">
        <v>136</v>
      </c>
      <c r="D11" s="178">
        <v>0</v>
      </c>
      <c r="E11" s="178">
        <v>0</v>
      </c>
      <c r="F11" s="179">
        <v>0</v>
      </c>
      <c r="G11" s="77">
        <v>0</v>
      </c>
      <c r="H11" s="78">
        <f t="shared" si="0"/>
        <v>0</v>
      </c>
      <c r="I11" s="78">
        <f t="shared" si="1"/>
        <v>0</v>
      </c>
      <c r="J11" s="77">
        <v>0</v>
      </c>
      <c r="K11" s="77">
        <v>0</v>
      </c>
      <c r="L11" s="78">
        <f t="shared" si="2"/>
        <v>0</v>
      </c>
      <c r="M11" s="174">
        <f t="shared" si="3"/>
        <v>0</v>
      </c>
      <c r="N11" s="339">
        <f t="shared" ca="1" si="4"/>
        <v>41284.323380902781</v>
      </c>
      <c r="O11" s="340" t="e">
        <f t="shared" si="5"/>
        <v>#VALUE!</v>
      </c>
      <c r="P11" s="340" t="e">
        <f t="shared" si="6"/>
        <v>#VALUE!</v>
      </c>
      <c r="Q11" s="340" t="e">
        <f t="shared" si="7"/>
        <v>#VALUE!</v>
      </c>
      <c r="R11" s="340">
        <f t="shared" ca="1" si="8"/>
        <v>2013</v>
      </c>
      <c r="S11" s="340">
        <f t="shared" ca="1" si="9"/>
        <v>1</v>
      </c>
      <c r="T11" s="340">
        <f t="shared" ca="1" si="10"/>
        <v>10</v>
      </c>
      <c r="U11" s="357" t="str">
        <f t="shared" si="11"/>
        <v>-</v>
      </c>
    </row>
    <row r="12" spans="1:22" x14ac:dyDescent="0.2">
      <c r="A12" s="77" t="s">
        <v>136</v>
      </c>
      <c r="B12" s="176" t="s">
        <v>136</v>
      </c>
      <c r="C12" s="177" t="s">
        <v>136</v>
      </c>
      <c r="D12" s="178">
        <v>0</v>
      </c>
      <c r="E12" s="178">
        <v>0</v>
      </c>
      <c r="F12" s="179">
        <v>0</v>
      </c>
      <c r="G12" s="77">
        <v>0</v>
      </c>
      <c r="H12" s="78">
        <f t="shared" si="0"/>
        <v>0</v>
      </c>
      <c r="I12" s="78">
        <f t="shared" si="1"/>
        <v>0</v>
      </c>
      <c r="J12" s="77">
        <v>0</v>
      </c>
      <c r="K12" s="77">
        <v>0</v>
      </c>
      <c r="L12" s="78">
        <f t="shared" si="2"/>
        <v>0</v>
      </c>
      <c r="M12" s="174">
        <f t="shared" si="3"/>
        <v>0</v>
      </c>
      <c r="N12" s="339">
        <f t="shared" ca="1" si="4"/>
        <v>41284.323380902781</v>
      </c>
      <c r="O12" s="340" t="e">
        <f t="shared" si="5"/>
        <v>#VALUE!</v>
      </c>
      <c r="P12" s="340" t="e">
        <f t="shared" si="6"/>
        <v>#VALUE!</v>
      </c>
      <c r="Q12" s="340" t="e">
        <f t="shared" si="7"/>
        <v>#VALUE!</v>
      </c>
      <c r="R12" s="340">
        <f t="shared" ca="1" si="8"/>
        <v>2013</v>
      </c>
      <c r="S12" s="340">
        <f t="shared" ca="1" si="9"/>
        <v>1</v>
      </c>
      <c r="T12" s="340">
        <f t="shared" ca="1" si="10"/>
        <v>10</v>
      </c>
      <c r="U12" s="357" t="str">
        <f t="shared" si="11"/>
        <v>-</v>
      </c>
    </row>
    <row r="13" spans="1:22" x14ac:dyDescent="0.2">
      <c r="A13" s="77" t="s">
        <v>136</v>
      </c>
      <c r="B13" s="176" t="s">
        <v>136</v>
      </c>
      <c r="C13" s="177" t="s">
        <v>136</v>
      </c>
      <c r="D13" s="178">
        <v>0</v>
      </c>
      <c r="E13" s="178">
        <v>0</v>
      </c>
      <c r="F13" s="179">
        <v>0</v>
      </c>
      <c r="G13" s="77">
        <v>0</v>
      </c>
      <c r="H13" s="78">
        <f t="shared" si="0"/>
        <v>0</v>
      </c>
      <c r="I13" s="78">
        <f t="shared" si="1"/>
        <v>0</v>
      </c>
      <c r="J13" s="77">
        <v>0</v>
      </c>
      <c r="K13" s="77">
        <v>0</v>
      </c>
      <c r="L13" s="78">
        <f t="shared" si="2"/>
        <v>0</v>
      </c>
      <c r="M13" s="174">
        <f t="shared" si="3"/>
        <v>0</v>
      </c>
      <c r="N13" s="339">
        <f t="shared" ca="1" si="4"/>
        <v>41284.323380902781</v>
      </c>
      <c r="O13" s="340" t="e">
        <f t="shared" si="5"/>
        <v>#VALUE!</v>
      </c>
      <c r="P13" s="340" t="e">
        <f t="shared" si="6"/>
        <v>#VALUE!</v>
      </c>
      <c r="Q13" s="340" t="e">
        <f t="shared" si="7"/>
        <v>#VALUE!</v>
      </c>
      <c r="R13" s="340">
        <f t="shared" ca="1" si="8"/>
        <v>2013</v>
      </c>
      <c r="S13" s="340">
        <f t="shared" ca="1" si="9"/>
        <v>1</v>
      </c>
      <c r="T13" s="340">
        <f t="shared" ca="1" si="10"/>
        <v>10</v>
      </c>
      <c r="U13" s="357" t="str">
        <f t="shared" si="11"/>
        <v>-</v>
      </c>
    </row>
    <row r="14" spans="1:22" x14ac:dyDescent="0.2">
      <c r="A14" s="77" t="s">
        <v>136</v>
      </c>
      <c r="B14" s="176" t="s">
        <v>136</v>
      </c>
      <c r="C14" s="177" t="s">
        <v>136</v>
      </c>
      <c r="D14" s="178">
        <v>0</v>
      </c>
      <c r="E14" s="178">
        <v>0</v>
      </c>
      <c r="F14" s="179">
        <v>0</v>
      </c>
      <c r="G14" s="77">
        <v>0</v>
      </c>
      <c r="H14" s="78">
        <f t="shared" si="0"/>
        <v>0</v>
      </c>
      <c r="I14" s="78">
        <f t="shared" si="1"/>
        <v>0</v>
      </c>
      <c r="J14" s="77">
        <v>0</v>
      </c>
      <c r="K14" s="77">
        <v>0</v>
      </c>
      <c r="L14" s="78">
        <f t="shared" si="2"/>
        <v>0</v>
      </c>
      <c r="M14" s="174">
        <f t="shared" si="3"/>
        <v>0</v>
      </c>
      <c r="N14" s="339">
        <f t="shared" ca="1" si="4"/>
        <v>41284.323380902781</v>
      </c>
      <c r="O14" s="340" t="e">
        <f t="shared" si="5"/>
        <v>#VALUE!</v>
      </c>
      <c r="P14" s="340" t="e">
        <f t="shared" si="6"/>
        <v>#VALUE!</v>
      </c>
      <c r="Q14" s="340" t="e">
        <f t="shared" si="7"/>
        <v>#VALUE!</v>
      </c>
      <c r="R14" s="340">
        <f t="shared" ca="1" si="8"/>
        <v>2013</v>
      </c>
      <c r="S14" s="340">
        <f t="shared" ca="1" si="9"/>
        <v>1</v>
      </c>
      <c r="T14" s="340">
        <f t="shared" ca="1" si="10"/>
        <v>10</v>
      </c>
      <c r="U14" s="357" t="str">
        <f t="shared" si="11"/>
        <v>-</v>
      </c>
    </row>
    <row r="15" spans="1:22" x14ac:dyDescent="0.2">
      <c r="A15" s="77" t="s">
        <v>136</v>
      </c>
      <c r="B15" s="176" t="s">
        <v>136</v>
      </c>
      <c r="C15" s="177" t="s">
        <v>136</v>
      </c>
      <c r="D15" s="178">
        <v>0</v>
      </c>
      <c r="E15" s="178">
        <v>0</v>
      </c>
      <c r="F15" s="179">
        <v>0</v>
      </c>
      <c r="G15" s="77">
        <v>0</v>
      </c>
      <c r="H15" s="78">
        <f t="shared" si="0"/>
        <v>0</v>
      </c>
      <c r="I15" s="78">
        <f t="shared" si="1"/>
        <v>0</v>
      </c>
      <c r="J15" s="77">
        <v>0</v>
      </c>
      <c r="K15" s="77">
        <v>0</v>
      </c>
      <c r="L15" s="78">
        <f t="shared" si="2"/>
        <v>0</v>
      </c>
      <c r="M15" s="174">
        <f t="shared" si="3"/>
        <v>0</v>
      </c>
      <c r="N15" s="339">
        <f t="shared" ca="1" si="4"/>
        <v>41284.323380902781</v>
      </c>
      <c r="O15" s="340" t="e">
        <f t="shared" si="5"/>
        <v>#VALUE!</v>
      </c>
      <c r="P15" s="340" t="e">
        <f t="shared" si="6"/>
        <v>#VALUE!</v>
      </c>
      <c r="Q15" s="340" t="e">
        <f t="shared" si="7"/>
        <v>#VALUE!</v>
      </c>
      <c r="R15" s="340">
        <f t="shared" ca="1" si="8"/>
        <v>2013</v>
      </c>
      <c r="S15" s="340">
        <f t="shared" ca="1" si="9"/>
        <v>1</v>
      </c>
      <c r="T15" s="340">
        <f t="shared" ca="1" si="10"/>
        <v>10</v>
      </c>
      <c r="U15" s="357" t="str">
        <f t="shared" si="11"/>
        <v>-</v>
      </c>
    </row>
    <row r="16" spans="1:22" x14ac:dyDescent="0.2">
      <c r="A16" s="77" t="s">
        <v>136</v>
      </c>
      <c r="B16" s="176" t="s">
        <v>136</v>
      </c>
      <c r="C16" s="177" t="s">
        <v>136</v>
      </c>
      <c r="D16" s="178">
        <v>0</v>
      </c>
      <c r="E16" s="178">
        <v>0</v>
      </c>
      <c r="F16" s="179">
        <v>0</v>
      </c>
      <c r="G16" s="77">
        <v>0</v>
      </c>
      <c r="H16" s="78">
        <f t="shared" si="0"/>
        <v>0</v>
      </c>
      <c r="I16" s="78">
        <f t="shared" si="1"/>
        <v>0</v>
      </c>
      <c r="J16" s="77">
        <v>0</v>
      </c>
      <c r="K16" s="77">
        <v>0</v>
      </c>
      <c r="L16" s="78">
        <f t="shared" si="2"/>
        <v>0</v>
      </c>
      <c r="M16" s="174">
        <f t="shared" si="3"/>
        <v>0</v>
      </c>
      <c r="N16" s="339">
        <f t="shared" ca="1" si="4"/>
        <v>41284.323380902781</v>
      </c>
      <c r="O16" s="340" t="e">
        <f t="shared" si="5"/>
        <v>#VALUE!</v>
      </c>
      <c r="P16" s="340" t="e">
        <f t="shared" si="6"/>
        <v>#VALUE!</v>
      </c>
      <c r="Q16" s="340" t="e">
        <f t="shared" si="7"/>
        <v>#VALUE!</v>
      </c>
      <c r="R16" s="340">
        <f t="shared" ca="1" si="8"/>
        <v>2013</v>
      </c>
      <c r="S16" s="340">
        <f t="shared" ca="1" si="9"/>
        <v>1</v>
      </c>
      <c r="T16" s="340">
        <f t="shared" ca="1" si="10"/>
        <v>10</v>
      </c>
      <c r="U16" s="357" t="str">
        <f t="shared" si="11"/>
        <v>-</v>
      </c>
    </row>
    <row r="17" spans="1:21" x14ac:dyDescent="0.2">
      <c r="A17" s="77" t="s">
        <v>136</v>
      </c>
      <c r="B17" s="176" t="s">
        <v>136</v>
      </c>
      <c r="C17" s="177" t="s">
        <v>136</v>
      </c>
      <c r="D17" s="178">
        <v>0</v>
      </c>
      <c r="E17" s="178">
        <v>0</v>
      </c>
      <c r="F17" s="179">
        <v>0</v>
      </c>
      <c r="G17" s="77">
        <v>0</v>
      </c>
      <c r="H17" s="78">
        <f t="shared" si="0"/>
        <v>0</v>
      </c>
      <c r="I17" s="78">
        <f t="shared" si="1"/>
        <v>0</v>
      </c>
      <c r="J17" s="77">
        <v>0</v>
      </c>
      <c r="K17" s="77">
        <v>0</v>
      </c>
      <c r="L17" s="78">
        <f t="shared" si="2"/>
        <v>0</v>
      </c>
      <c r="M17" s="174">
        <f t="shared" si="3"/>
        <v>0</v>
      </c>
      <c r="N17" s="339">
        <f t="shared" ca="1" si="4"/>
        <v>41284.323380902781</v>
      </c>
      <c r="O17" s="340" t="e">
        <f t="shared" si="5"/>
        <v>#VALUE!</v>
      </c>
      <c r="P17" s="340" t="e">
        <f t="shared" si="6"/>
        <v>#VALUE!</v>
      </c>
      <c r="Q17" s="340" t="e">
        <f t="shared" si="7"/>
        <v>#VALUE!</v>
      </c>
      <c r="R17" s="340">
        <f t="shared" ca="1" si="8"/>
        <v>2013</v>
      </c>
      <c r="S17" s="340">
        <f t="shared" ca="1" si="9"/>
        <v>1</v>
      </c>
      <c r="T17" s="340">
        <f t="shared" ca="1" si="10"/>
        <v>10</v>
      </c>
      <c r="U17" s="357" t="str">
        <f t="shared" si="11"/>
        <v>-</v>
      </c>
    </row>
    <row r="18" spans="1:21" x14ac:dyDescent="0.2">
      <c r="A18" s="77" t="s">
        <v>136</v>
      </c>
      <c r="B18" s="176" t="s">
        <v>136</v>
      </c>
      <c r="C18" s="177" t="s">
        <v>136</v>
      </c>
      <c r="D18" s="178">
        <v>0</v>
      </c>
      <c r="E18" s="178">
        <v>0</v>
      </c>
      <c r="F18" s="179">
        <v>0</v>
      </c>
      <c r="G18" s="77">
        <v>0</v>
      </c>
      <c r="H18" s="78">
        <f t="shared" si="0"/>
        <v>0</v>
      </c>
      <c r="I18" s="78">
        <f t="shared" si="1"/>
        <v>0</v>
      </c>
      <c r="J18" s="77">
        <v>0</v>
      </c>
      <c r="K18" s="77">
        <v>0</v>
      </c>
      <c r="L18" s="78">
        <f t="shared" si="2"/>
        <v>0</v>
      </c>
      <c r="M18" s="174">
        <f t="shared" si="3"/>
        <v>0</v>
      </c>
      <c r="N18" s="339">
        <f t="shared" ca="1" si="4"/>
        <v>41284.323380902781</v>
      </c>
      <c r="O18" s="340" t="e">
        <f t="shared" si="5"/>
        <v>#VALUE!</v>
      </c>
      <c r="P18" s="340" t="e">
        <f t="shared" si="6"/>
        <v>#VALUE!</v>
      </c>
      <c r="Q18" s="340" t="e">
        <f t="shared" si="7"/>
        <v>#VALUE!</v>
      </c>
      <c r="R18" s="340">
        <f t="shared" ca="1" si="8"/>
        <v>2013</v>
      </c>
      <c r="S18" s="340">
        <f t="shared" ca="1" si="9"/>
        <v>1</v>
      </c>
      <c r="T18" s="340">
        <f t="shared" ca="1" si="10"/>
        <v>10</v>
      </c>
      <c r="U18" s="357" t="str">
        <f t="shared" si="11"/>
        <v>-</v>
      </c>
    </row>
    <row r="19" spans="1:21" x14ac:dyDescent="0.2">
      <c r="A19" s="77" t="s">
        <v>136</v>
      </c>
      <c r="B19" s="176" t="s">
        <v>136</v>
      </c>
      <c r="C19" s="177" t="s">
        <v>136</v>
      </c>
      <c r="D19" s="178">
        <v>0</v>
      </c>
      <c r="E19" s="178">
        <v>0</v>
      </c>
      <c r="F19" s="179">
        <v>0</v>
      </c>
      <c r="G19" s="77">
        <v>0</v>
      </c>
      <c r="H19" s="78">
        <f t="shared" si="0"/>
        <v>0</v>
      </c>
      <c r="I19" s="78">
        <f t="shared" si="1"/>
        <v>0</v>
      </c>
      <c r="J19" s="77">
        <v>0</v>
      </c>
      <c r="K19" s="77">
        <v>0</v>
      </c>
      <c r="L19" s="78">
        <f t="shared" si="2"/>
        <v>0</v>
      </c>
      <c r="M19" s="174">
        <f t="shared" si="3"/>
        <v>0</v>
      </c>
      <c r="N19" s="339">
        <f t="shared" ca="1" si="4"/>
        <v>41284.323380902781</v>
      </c>
      <c r="O19" s="340" t="e">
        <f t="shared" si="5"/>
        <v>#VALUE!</v>
      </c>
      <c r="P19" s="340" t="e">
        <f t="shared" si="6"/>
        <v>#VALUE!</v>
      </c>
      <c r="Q19" s="340" t="e">
        <f t="shared" si="7"/>
        <v>#VALUE!</v>
      </c>
      <c r="R19" s="340">
        <f t="shared" ca="1" si="8"/>
        <v>2013</v>
      </c>
      <c r="S19" s="340">
        <f t="shared" ca="1" si="9"/>
        <v>1</v>
      </c>
      <c r="T19" s="340">
        <f t="shared" ca="1" si="10"/>
        <v>10</v>
      </c>
      <c r="U19" s="357" t="str">
        <f t="shared" si="11"/>
        <v>-</v>
      </c>
    </row>
    <row r="20" spans="1:21" x14ac:dyDescent="0.2">
      <c r="A20" s="77" t="s">
        <v>136</v>
      </c>
      <c r="B20" s="176" t="s">
        <v>136</v>
      </c>
      <c r="C20" s="177" t="s">
        <v>136</v>
      </c>
      <c r="D20" s="178">
        <v>0</v>
      </c>
      <c r="E20" s="178">
        <v>0</v>
      </c>
      <c r="F20" s="179">
        <v>0</v>
      </c>
      <c r="G20" s="77">
        <v>0</v>
      </c>
      <c r="H20" s="78">
        <f t="shared" si="0"/>
        <v>0</v>
      </c>
      <c r="I20" s="78">
        <f t="shared" si="1"/>
        <v>0</v>
      </c>
      <c r="J20" s="77">
        <v>0</v>
      </c>
      <c r="K20" s="77">
        <v>0</v>
      </c>
      <c r="L20" s="78">
        <f t="shared" si="2"/>
        <v>0</v>
      </c>
      <c r="M20" s="174">
        <f t="shared" si="3"/>
        <v>0</v>
      </c>
      <c r="N20" s="339">
        <f t="shared" ca="1" si="4"/>
        <v>41284.323380902781</v>
      </c>
      <c r="O20" s="340" t="e">
        <f t="shared" si="5"/>
        <v>#VALUE!</v>
      </c>
      <c r="P20" s="340" t="e">
        <f t="shared" si="6"/>
        <v>#VALUE!</v>
      </c>
      <c r="Q20" s="340" t="e">
        <f t="shared" si="7"/>
        <v>#VALUE!</v>
      </c>
      <c r="R20" s="340">
        <f t="shared" ca="1" si="8"/>
        <v>2013</v>
      </c>
      <c r="S20" s="340">
        <f t="shared" ca="1" si="9"/>
        <v>1</v>
      </c>
      <c r="T20" s="340">
        <f t="shared" ca="1" si="10"/>
        <v>10</v>
      </c>
      <c r="U20" s="357" t="str">
        <f t="shared" si="11"/>
        <v>-</v>
      </c>
    </row>
    <row r="21" spans="1:21" x14ac:dyDescent="0.2">
      <c r="A21" s="77" t="s">
        <v>136</v>
      </c>
      <c r="B21" s="176" t="s">
        <v>136</v>
      </c>
      <c r="C21" s="177" t="s">
        <v>136</v>
      </c>
      <c r="D21" s="178">
        <v>0</v>
      </c>
      <c r="E21" s="178">
        <v>0</v>
      </c>
      <c r="F21" s="179">
        <v>0</v>
      </c>
      <c r="G21" s="77">
        <v>0</v>
      </c>
      <c r="H21" s="78">
        <f t="shared" si="0"/>
        <v>0</v>
      </c>
      <c r="I21" s="78">
        <f t="shared" si="1"/>
        <v>0</v>
      </c>
      <c r="J21" s="77">
        <v>0</v>
      </c>
      <c r="K21" s="77">
        <v>0</v>
      </c>
      <c r="L21" s="78">
        <f t="shared" si="2"/>
        <v>0</v>
      </c>
      <c r="M21" s="174">
        <f t="shared" si="3"/>
        <v>0</v>
      </c>
      <c r="N21" s="339">
        <f t="shared" ca="1" si="4"/>
        <v>41284.323380902781</v>
      </c>
      <c r="O21" s="340" t="e">
        <f t="shared" si="5"/>
        <v>#VALUE!</v>
      </c>
      <c r="P21" s="340" t="e">
        <f t="shared" si="6"/>
        <v>#VALUE!</v>
      </c>
      <c r="Q21" s="340" t="e">
        <f t="shared" si="7"/>
        <v>#VALUE!</v>
      </c>
      <c r="R21" s="340">
        <f t="shared" ca="1" si="8"/>
        <v>2013</v>
      </c>
      <c r="S21" s="340">
        <f t="shared" ca="1" si="9"/>
        <v>1</v>
      </c>
      <c r="T21" s="340">
        <f t="shared" ca="1" si="10"/>
        <v>10</v>
      </c>
      <c r="U21" s="357" t="str">
        <f t="shared" si="11"/>
        <v>-</v>
      </c>
    </row>
    <row r="22" spans="1:21" x14ac:dyDescent="0.2">
      <c r="A22" s="77" t="s">
        <v>136</v>
      </c>
      <c r="B22" s="176" t="s">
        <v>136</v>
      </c>
      <c r="C22" s="177" t="s">
        <v>136</v>
      </c>
      <c r="D22" s="178">
        <v>0</v>
      </c>
      <c r="E22" s="178">
        <v>0</v>
      </c>
      <c r="F22" s="179">
        <v>0</v>
      </c>
      <c r="G22" s="77">
        <v>0</v>
      </c>
      <c r="H22" s="78">
        <f t="shared" si="0"/>
        <v>0</v>
      </c>
      <c r="I22" s="78">
        <f t="shared" si="1"/>
        <v>0</v>
      </c>
      <c r="J22" s="77">
        <v>0</v>
      </c>
      <c r="K22" s="77">
        <v>0</v>
      </c>
      <c r="L22" s="78">
        <f t="shared" si="2"/>
        <v>0</v>
      </c>
      <c r="M22" s="174">
        <f t="shared" si="3"/>
        <v>0</v>
      </c>
      <c r="N22" s="339">
        <f t="shared" ca="1" si="4"/>
        <v>41284.323380902781</v>
      </c>
      <c r="O22" s="340" t="e">
        <f t="shared" si="5"/>
        <v>#VALUE!</v>
      </c>
      <c r="P22" s="340" t="e">
        <f t="shared" si="6"/>
        <v>#VALUE!</v>
      </c>
      <c r="Q22" s="340" t="e">
        <f t="shared" si="7"/>
        <v>#VALUE!</v>
      </c>
      <c r="R22" s="340">
        <f t="shared" ca="1" si="8"/>
        <v>2013</v>
      </c>
      <c r="S22" s="340">
        <f t="shared" ca="1" si="9"/>
        <v>1</v>
      </c>
      <c r="T22" s="340">
        <f t="shared" ca="1" si="10"/>
        <v>10</v>
      </c>
      <c r="U22" s="357" t="str">
        <f t="shared" si="11"/>
        <v>-</v>
      </c>
    </row>
    <row r="23" spans="1:21" x14ac:dyDescent="0.2">
      <c r="A23" s="77" t="s">
        <v>136</v>
      </c>
      <c r="B23" s="176" t="s">
        <v>136</v>
      </c>
      <c r="C23" s="177" t="s">
        <v>136</v>
      </c>
      <c r="D23" s="178">
        <v>0</v>
      </c>
      <c r="E23" s="178">
        <v>0</v>
      </c>
      <c r="F23" s="179">
        <v>0</v>
      </c>
      <c r="G23" s="77">
        <v>0</v>
      </c>
      <c r="H23" s="78">
        <f t="shared" si="0"/>
        <v>0</v>
      </c>
      <c r="I23" s="78">
        <f t="shared" si="1"/>
        <v>0</v>
      </c>
      <c r="J23" s="77">
        <v>0</v>
      </c>
      <c r="K23" s="77">
        <v>0</v>
      </c>
      <c r="L23" s="78">
        <f t="shared" si="2"/>
        <v>0</v>
      </c>
      <c r="M23" s="174">
        <f t="shared" si="3"/>
        <v>0</v>
      </c>
      <c r="N23" s="339">
        <f t="shared" ca="1" si="4"/>
        <v>41284.323380902781</v>
      </c>
      <c r="O23" s="340" t="e">
        <f t="shared" si="5"/>
        <v>#VALUE!</v>
      </c>
      <c r="P23" s="340" t="e">
        <f t="shared" si="6"/>
        <v>#VALUE!</v>
      </c>
      <c r="Q23" s="340" t="e">
        <f t="shared" si="7"/>
        <v>#VALUE!</v>
      </c>
      <c r="R23" s="340">
        <f t="shared" ca="1" si="8"/>
        <v>2013</v>
      </c>
      <c r="S23" s="340">
        <f t="shared" ca="1" si="9"/>
        <v>1</v>
      </c>
      <c r="T23" s="340">
        <f t="shared" ca="1" si="10"/>
        <v>10</v>
      </c>
      <c r="U23" s="357" t="str">
        <f t="shared" si="11"/>
        <v>-</v>
      </c>
    </row>
    <row r="24" spans="1:21" x14ac:dyDescent="0.2">
      <c r="A24" s="77" t="s">
        <v>136</v>
      </c>
      <c r="B24" s="176" t="s">
        <v>136</v>
      </c>
      <c r="C24" s="177" t="s">
        <v>136</v>
      </c>
      <c r="D24" s="178">
        <v>0</v>
      </c>
      <c r="E24" s="178">
        <v>0</v>
      </c>
      <c r="F24" s="179">
        <v>0</v>
      </c>
      <c r="G24" s="77">
        <v>0</v>
      </c>
      <c r="H24" s="78">
        <f t="shared" si="0"/>
        <v>0</v>
      </c>
      <c r="I24" s="78">
        <f t="shared" si="1"/>
        <v>0</v>
      </c>
      <c r="J24" s="77">
        <v>0</v>
      </c>
      <c r="K24" s="77">
        <v>0</v>
      </c>
      <c r="L24" s="78">
        <f t="shared" si="2"/>
        <v>0</v>
      </c>
      <c r="M24" s="174">
        <f t="shared" si="3"/>
        <v>0</v>
      </c>
      <c r="N24" s="339">
        <f t="shared" ca="1" si="4"/>
        <v>41284.323380902781</v>
      </c>
      <c r="O24" s="340" t="e">
        <f t="shared" si="5"/>
        <v>#VALUE!</v>
      </c>
      <c r="P24" s="340" t="e">
        <f t="shared" si="6"/>
        <v>#VALUE!</v>
      </c>
      <c r="Q24" s="340" t="e">
        <f t="shared" si="7"/>
        <v>#VALUE!</v>
      </c>
      <c r="R24" s="340">
        <f t="shared" ca="1" si="8"/>
        <v>2013</v>
      </c>
      <c r="S24" s="340">
        <f t="shared" ca="1" si="9"/>
        <v>1</v>
      </c>
      <c r="T24" s="340">
        <f t="shared" ca="1" si="10"/>
        <v>10</v>
      </c>
      <c r="U24" s="357" t="str">
        <f t="shared" si="11"/>
        <v>-</v>
      </c>
    </row>
    <row r="25" spans="1:21" x14ac:dyDescent="0.2">
      <c r="A25" s="77" t="s">
        <v>136</v>
      </c>
      <c r="B25" s="176" t="s">
        <v>136</v>
      </c>
      <c r="C25" s="177" t="s">
        <v>136</v>
      </c>
      <c r="D25" s="178">
        <v>0</v>
      </c>
      <c r="E25" s="178">
        <v>0</v>
      </c>
      <c r="F25" s="179">
        <v>0</v>
      </c>
      <c r="G25" s="77">
        <v>0</v>
      </c>
      <c r="H25" s="78">
        <f t="shared" si="0"/>
        <v>0</v>
      </c>
      <c r="I25" s="78">
        <f t="shared" si="1"/>
        <v>0</v>
      </c>
      <c r="J25" s="77">
        <v>0</v>
      </c>
      <c r="K25" s="77">
        <v>0</v>
      </c>
      <c r="L25" s="78">
        <f t="shared" si="2"/>
        <v>0</v>
      </c>
      <c r="M25" s="174">
        <f t="shared" si="3"/>
        <v>0</v>
      </c>
      <c r="N25" s="339">
        <f t="shared" ca="1" si="4"/>
        <v>41284.323380902781</v>
      </c>
      <c r="O25" s="340" t="e">
        <f t="shared" si="5"/>
        <v>#VALUE!</v>
      </c>
      <c r="P25" s="340" t="e">
        <f t="shared" si="6"/>
        <v>#VALUE!</v>
      </c>
      <c r="Q25" s="340" t="e">
        <f t="shared" si="7"/>
        <v>#VALUE!</v>
      </c>
      <c r="R25" s="340">
        <f t="shared" ca="1" si="8"/>
        <v>2013</v>
      </c>
      <c r="S25" s="340">
        <f t="shared" ca="1" si="9"/>
        <v>1</v>
      </c>
      <c r="T25" s="340">
        <f t="shared" ca="1" si="10"/>
        <v>10</v>
      </c>
      <c r="U25" s="357" t="str">
        <f t="shared" si="11"/>
        <v>-</v>
      </c>
    </row>
    <row r="26" spans="1:21" x14ac:dyDescent="0.2">
      <c r="A26" s="77" t="s">
        <v>136</v>
      </c>
      <c r="B26" s="176" t="s">
        <v>136</v>
      </c>
      <c r="C26" s="177" t="s">
        <v>136</v>
      </c>
      <c r="D26" s="178">
        <v>0</v>
      </c>
      <c r="E26" s="178">
        <v>0</v>
      </c>
      <c r="F26" s="179">
        <v>0</v>
      </c>
      <c r="G26" s="77">
        <v>0</v>
      </c>
      <c r="H26" s="78">
        <f t="shared" si="0"/>
        <v>0</v>
      </c>
      <c r="I26" s="78">
        <f t="shared" si="1"/>
        <v>0</v>
      </c>
      <c r="J26" s="77">
        <v>0</v>
      </c>
      <c r="K26" s="77">
        <v>0</v>
      </c>
      <c r="L26" s="78">
        <f t="shared" si="2"/>
        <v>0</v>
      </c>
      <c r="M26" s="174">
        <f t="shared" si="3"/>
        <v>0</v>
      </c>
      <c r="N26" s="339">
        <f t="shared" ca="1" si="4"/>
        <v>41284.323380902781</v>
      </c>
      <c r="O26" s="340" t="e">
        <f t="shared" si="5"/>
        <v>#VALUE!</v>
      </c>
      <c r="P26" s="340" t="e">
        <f t="shared" si="6"/>
        <v>#VALUE!</v>
      </c>
      <c r="Q26" s="340" t="e">
        <f t="shared" si="7"/>
        <v>#VALUE!</v>
      </c>
      <c r="R26" s="340">
        <f t="shared" ca="1" si="8"/>
        <v>2013</v>
      </c>
      <c r="S26" s="340">
        <f t="shared" ca="1" si="9"/>
        <v>1</v>
      </c>
      <c r="T26" s="340">
        <f t="shared" ca="1" si="10"/>
        <v>10</v>
      </c>
      <c r="U26" s="357" t="str">
        <f t="shared" si="11"/>
        <v>-</v>
      </c>
    </row>
    <row r="27" spans="1:21" x14ac:dyDescent="0.2">
      <c r="A27" s="77" t="s">
        <v>136</v>
      </c>
      <c r="B27" s="176" t="s">
        <v>136</v>
      </c>
      <c r="C27" s="177" t="s">
        <v>136</v>
      </c>
      <c r="D27" s="178">
        <v>0</v>
      </c>
      <c r="E27" s="178">
        <v>0</v>
      </c>
      <c r="F27" s="179">
        <v>0</v>
      </c>
      <c r="G27" s="77">
        <v>0</v>
      </c>
      <c r="H27" s="78">
        <f t="shared" si="0"/>
        <v>0</v>
      </c>
      <c r="I27" s="78">
        <f t="shared" si="1"/>
        <v>0</v>
      </c>
      <c r="J27" s="77">
        <v>0</v>
      </c>
      <c r="K27" s="77">
        <v>0</v>
      </c>
      <c r="L27" s="78">
        <f t="shared" si="2"/>
        <v>0</v>
      </c>
      <c r="M27" s="174">
        <f t="shared" si="3"/>
        <v>0</v>
      </c>
      <c r="N27" s="339">
        <f t="shared" ca="1" si="4"/>
        <v>41284.323380902781</v>
      </c>
      <c r="O27" s="340" t="e">
        <f t="shared" si="5"/>
        <v>#VALUE!</v>
      </c>
      <c r="P27" s="340" t="e">
        <f t="shared" si="6"/>
        <v>#VALUE!</v>
      </c>
      <c r="Q27" s="340" t="e">
        <f t="shared" si="7"/>
        <v>#VALUE!</v>
      </c>
      <c r="R27" s="340">
        <f t="shared" ca="1" si="8"/>
        <v>2013</v>
      </c>
      <c r="S27" s="340">
        <f t="shared" ca="1" si="9"/>
        <v>1</v>
      </c>
      <c r="T27" s="340">
        <f t="shared" ca="1" si="10"/>
        <v>10</v>
      </c>
      <c r="U27" s="357" t="str">
        <f t="shared" si="11"/>
        <v>-</v>
      </c>
    </row>
    <row r="28" spans="1:21" x14ac:dyDescent="0.2">
      <c r="A28" s="77" t="s">
        <v>136</v>
      </c>
      <c r="B28" s="176" t="s">
        <v>136</v>
      </c>
      <c r="C28" s="177" t="s">
        <v>136</v>
      </c>
      <c r="D28" s="178">
        <v>0</v>
      </c>
      <c r="E28" s="178">
        <v>0</v>
      </c>
      <c r="F28" s="179">
        <v>0</v>
      </c>
      <c r="G28" s="77">
        <v>0</v>
      </c>
      <c r="H28" s="78">
        <f t="shared" si="0"/>
        <v>0</v>
      </c>
      <c r="I28" s="78">
        <f t="shared" si="1"/>
        <v>0</v>
      </c>
      <c r="J28" s="77">
        <v>0</v>
      </c>
      <c r="K28" s="77">
        <v>0</v>
      </c>
      <c r="L28" s="78">
        <f t="shared" si="2"/>
        <v>0</v>
      </c>
      <c r="M28" s="174">
        <f t="shared" si="3"/>
        <v>0</v>
      </c>
      <c r="N28" s="339">
        <f t="shared" ca="1" si="4"/>
        <v>41284.323380902781</v>
      </c>
      <c r="O28" s="340" t="e">
        <f t="shared" si="5"/>
        <v>#VALUE!</v>
      </c>
      <c r="P28" s="340" t="e">
        <f t="shared" si="6"/>
        <v>#VALUE!</v>
      </c>
      <c r="Q28" s="340" t="e">
        <f t="shared" si="7"/>
        <v>#VALUE!</v>
      </c>
      <c r="R28" s="340">
        <f t="shared" ca="1" si="8"/>
        <v>2013</v>
      </c>
      <c r="S28" s="340">
        <f t="shared" ca="1" si="9"/>
        <v>1</v>
      </c>
      <c r="T28" s="340">
        <f t="shared" ca="1" si="10"/>
        <v>10</v>
      </c>
      <c r="U28" s="357" t="str">
        <f t="shared" si="11"/>
        <v>-</v>
      </c>
    </row>
    <row r="29" spans="1:21" x14ac:dyDescent="0.2">
      <c r="A29" s="77" t="s">
        <v>136</v>
      </c>
      <c r="B29" s="176" t="s">
        <v>136</v>
      </c>
      <c r="C29" s="177" t="s">
        <v>136</v>
      </c>
      <c r="D29" s="178">
        <v>0</v>
      </c>
      <c r="E29" s="178">
        <v>0</v>
      </c>
      <c r="F29" s="179">
        <v>0</v>
      </c>
      <c r="G29" s="77">
        <v>0</v>
      </c>
      <c r="H29" s="78">
        <f t="shared" si="0"/>
        <v>0</v>
      </c>
      <c r="I29" s="78">
        <f t="shared" si="1"/>
        <v>0</v>
      </c>
      <c r="J29" s="77">
        <v>0</v>
      </c>
      <c r="K29" s="77">
        <v>0</v>
      </c>
      <c r="L29" s="78">
        <f t="shared" si="2"/>
        <v>0</v>
      </c>
      <c r="M29" s="174">
        <f t="shared" si="3"/>
        <v>0</v>
      </c>
      <c r="N29" s="339">
        <f t="shared" ca="1" si="4"/>
        <v>41284.323380902781</v>
      </c>
      <c r="O29" s="340" t="e">
        <f t="shared" si="5"/>
        <v>#VALUE!</v>
      </c>
      <c r="P29" s="340" t="e">
        <f t="shared" si="6"/>
        <v>#VALUE!</v>
      </c>
      <c r="Q29" s="340" t="e">
        <f t="shared" si="7"/>
        <v>#VALUE!</v>
      </c>
      <c r="R29" s="340">
        <f t="shared" ca="1" si="8"/>
        <v>2013</v>
      </c>
      <c r="S29" s="340">
        <f t="shared" ca="1" si="9"/>
        <v>1</v>
      </c>
      <c r="T29" s="340">
        <f t="shared" ca="1" si="10"/>
        <v>10</v>
      </c>
      <c r="U29" s="357" t="str">
        <f t="shared" si="11"/>
        <v>-</v>
      </c>
    </row>
    <row r="30" spans="1:21" x14ac:dyDescent="0.2">
      <c r="A30" s="77" t="s">
        <v>136</v>
      </c>
      <c r="B30" s="176" t="s">
        <v>136</v>
      </c>
      <c r="C30" s="177" t="s">
        <v>136</v>
      </c>
      <c r="D30" s="178">
        <v>0</v>
      </c>
      <c r="E30" s="178">
        <v>0</v>
      </c>
      <c r="F30" s="179">
        <v>0</v>
      </c>
      <c r="G30" s="77">
        <v>0</v>
      </c>
      <c r="H30" s="78">
        <f t="shared" si="0"/>
        <v>0</v>
      </c>
      <c r="I30" s="78">
        <f t="shared" si="1"/>
        <v>0</v>
      </c>
      <c r="J30" s="77">
        <v>0</v>
      </c>
      <c r="K30" s="77">
        <v>0</v>
      </c>
      <c r="L30" s="78">
        <f t="shared" si="2"/>
        <v>0</v>
      </c>
      <c r="M30" s="174">
        <f t="shared" si="3"/>
        <v>0</v>
      </c>
      <c r="N30" s="339">
        <f t="shared" ca="1" si="4"/>
        <v>41284.323380902781</v>
      </c>
      <c r="O30" s="340" t="e">
        <f t="shared" si="5"/>
        <v>#VALUE!</v>
      </c>
      <c r="P30" s="340" t="e">
        <f t="shared" si="6"/>
        <v>#VALUE!</v>
      </c>
      <c r="Q30" s="340" t="e">
        <f t="shared" si="7"/>
        <v>#VALUE!</v>
      </c>
      <c r="R30" s="340">
        <f t="shared" ca="1" si="8"/>
        <v>2013</v>
      </c>
      <c r="S30" s="340">
        <f t="shared" ca="1" si="9"/>
        <v>1</v>
      </c>
      <c r="T30" s="340">
        <f t="shared" ca="1" si="10"/>
        <v>10</v>
      </c>
      <c r="U30" s="357" t="str">
        <f t="shared" si="11"/>
        <v>-</v>
      </c>
    </row>
    <row r="31" spans="1:21" x14ac:dyDescent="0.2">
      <c r="A31" s="77" t="s">
        <v>136</v>
      </c>
      <c r="B31" s="176" t="s">
        <v>136</v>
      </c>
      <c r="C31" s="177" t="s">
        <v>136</v>
      </c>
      <c r="D31" s="178">
        <v>0</v>
      </c>
      <c r="E31" s="178">
        <v>0</v>
      </c>
      <c r="F31" s="179">
        <v>0</v>
      </c>
      <c r="G31" s="77">
        <v>0</v>
      </c>
      <c r="H31" s="78">
        <f t="shared" si="0"/>
        <v>0</v>
      </c>
      <c r="I31" s="78">
        <f t="shared" si="1"/>
        <v>0</v>
      </c>
      <c r="J31" s="77">
        <v>0</v>
      </c>
      <c r="K31" s="77">
        <v>0</v>
      </c>
      <c r="L31" s="78">
        <f t="shared" si="2"/>
        <v>0</v>
      </c>
      <c r="M31" s="174">
        <f t="shared" si="3"/>
        <v>0</v>
      </c>
      <c r="N31" s="339">
        <f t="shared" ca="1" si="4"/>
        <v>41284.323380902781</v>
      </c>
      <c r="O31" s="340" t="e">
        <f t="shared" si="5"/>
        <v>#VALUE!</v>
      </c>
      <c r="P31" s="340" t="e">
        <f t="shared" si="6"/>
        <v>#VALUE!</v>
      </c>
      <c r="Q31" s="340" t="e">
        <f t="shared" si="7"/>
        <v>#VALUE!</v>
      </c>
      <c r="R31" s="340">
        <f t="shared" ca="1" si="8"/>
        <v>2013</v>
      </c>
      <c r="S31" s="340">
        <f t="shared" ca="1" si="9"/>
        <v>1</v>
      </c>
      <c r="T31" s="340">
        <f t="shared" ca="1" si="10"/>
        <v>10</v>
      </c>
      <c r="U31" s="357" t="str">
        <f t="shared" si="11"/>
        <v>-</v>
      </c>
    </row>
    <row r="32" spans="1:21" x14ac:dyDescent="0.2">
      <c r="A32" s="77" t="s">
        <v>136</v>
      </c>
      <c r="B32" s="176" t="s">
        <v>136</v>
      </c>
      <c r="C32" s="177" t="s">
        <v>136</v>
      </c>
      <c r="D32" s="178">
        <v>0</v>
      </c>
      <c r="E32" s="178">
        <v>0</v>
      </c>
      <c r="F32" s="179">
        <v>0</v>
      </c>
      <c r="G32" s="77">
        <v>0</v>
      </c>
      <c r="H32" s="78">
        <f t="shared" si="0"/>
        <v>0</v>
      </c>
      <c r="I32" s="78">
        <f t="shared" si="1"/>
        <v>0</v>
      </c>
      <c r="J32" s="77">
        <v>0</v>
      </c>
      <c r="K32" s="77">
        <v>0</v>
      </c>
      <c r="L32" s="78">
        <f t="shared" si="2"/>
        <v>0</v>
      </c>
      <c r="M32" s="174">
        <f t="shared" si="3"/>
        <v>0</v>
      </c>
      <c r="N32" s="339">
        <f t="shared" ca="1" si="4"/>
        <v>41284.323380902781</v>
      </c>
      <c r="O32" s="340" t="e">
        <f t="shared" si="5"/>
        <v>#VALUE!</v>
      </c>
      <c r="P32" s="340" t="e">
        <f t="shared" si="6"/>
        <v>#VALUE!</v>
      </c>
      <c r="Q32" s="340" t="e">
        <f t="shared" si="7"/>
        <v>#VALUE!</v>
      </c>
      <c r="R32" s="340">
        <f t="shared" ca="1" si="8"/>
        <v>2013</v>
      </c>
      <c r="S32" s="340">
        <f t="shared" ca="1" si="9"/>
        <v>1</v>
      </c>
      <c r="T32" s="340">
        <f t="shared" ca="1" si="10"/>
        <v>10</v>
      </c>
      <c r="U32" s="357" t="str">
        <f t="shared" si="11"/>
        <v>-</v>
      </c>
    </row>
    <row r="33" spans="1:21" x14ac:dyDescent="0.2">
      <c r="A33" s="77" t="s">
        <v>136</v>
      </c>
      <c r="B33" s="176" t="s">
        <v>136</v>
      </c>
      <c r="C33" s="177" t="s">
        <v>136</v>
      </c>
      <c r="D33" s="178">
        <v>0</v>
      </c>
      <c r="E33" s="178">
        <v>0</v>
      </c>
      <c r="F33" s="179">
        <v>0</v>
      </c>
      <c r="G33" s="77">
        <v>0</v>
      </c>
      <c r="H33" s="78">
        <f t="shared" si="0"/>
        <v>0</v>
      </c>
      <c r="I33" s="78">
        <f t="shared" si="1"/>
        <v>0</v>
      </c>
      <c r="J33" s="77">
        <v>0</v>
      </c>
      <c r="K33" s="77">
        <v>0</v>
      </c>
      <c r="L33" s="78">
        <f t="shared" si="2"/>
        <v>0</v>
      </c>
      <c r="M33" s="174">
        <f t="shared" si="3"/>
        <v>0</v>
      </c>
      <c r="N33" s="339">
        <f t="shared" ca="1" si="4"/>
        <v>41284.323380902781</v>
      </c>
      <c r="O33" s="340" t="e">
        <f t="shared" si="5"/>
        <v>#VALUE!</v>
      </c>
      <c r="P33" s="340" t="e">
        <f t="shared" si="6"/>
        <v>#VALUE!</v>
      </c>
      <c r="Q33" s="340" t="e">
        <f t="shared" si="7"/>
        <v>#VALUE!</v>
      </c>
      <c r="R33" s="340">
        <f t="shared" ca="1" si="8"/>
        <v>2013</v>
      </c>
      <c r="S33" s="340">
        <f t="shared" ca="1" si="9"/>
        <v>1</v>
      </c>
      <c r="T33" s="340">
        <f t="shared" ca="1" si="10"/>
        <v>10</v>
      </c>
      <c r="U33" s="357" t="str">
        <f t="shared" si="11"/>
        <v>-</v>
      </c>
    </row>
    <row r="34" spans="1:21" x14ac:dyDescent="0.2">
      <c r="A34" s="77" t="s">
        <v>136</v>
      </c>
      <c r="B34" s="176" t="s">
        <v>136</v>
      </c>
      <c r="C34" s="177" t="s">
        <v>136</v>
      </c>
      <c r="D34" s="178">
        <v>0</v>
      </c>
      <c r="E34" s="178">
        <v>0</v>
      </c>
      <c r="F34" s="179">
        <v>0</v>
      </c>
      <c r="G34" s="77">
        <v>0</v>
      </c>
      <c r="H34" s="78">
        <f t="shared" si="0"/>
        <v>0</v>
      </c>
      <c r="I34" s="78">
        <f t="shared" si="1"/>
        <v>0</v>
      </c>
      <c r="J34" s="77">
        <v>0</v>
      </c>
      <c r="K34" s="77">
        <v>0</v>
      </c>
      <c r="L34" s="78">
        <f t="shared" si="2"/>
        <v>0</v>
      </c>
      <c r="M34" s="174">
        <f t="shared" si="3"/>
        <v>0</v>
      </c>
      <c r="N34" s="339">
        <f t="shared" ca="1" si="4"/>
        <v>41284.323380902781</v>
      </c>
      <c r="O34" s="340" t="e">
        <f t="shared" si="5"/>
        <v>#VALUE!</v>
      </c>
      <c r="P34" s="340" t="e">
        <f t="shared" si="6"/>
        <v>#VALUE!</v>
      </c>
      <c r="Q34" s="340" t="e">
        <f t="shared" si="7"/>
        <v>#VALUE!</v>
      </c>
      <c r="R34" s="340">
        <f t="shared" ca="1" si="8"/>
        <v>2013</v>
      </c>
      <c r="S34" s="340">
        <f t="shared" ca="1" si="9"/>
        <v>1</v>
      </c>
      <c r="T34" s="340">
        <f t="shared" ca="1" si="10"/>
        <v>10</v>
      </c>
      <c r="U34" s="357" t="str">
        <f t="shared" si="11"/>
        <v>-</v>
      </c>
    </row>
    <row r="35" spans="1:21" x14ac:dyDescent="0.2">
      <c r="A35" s="77" t="s">
        <v>136</v>
      </c>
      <c r="B35" s="176" t="s">
        <v>136</v>
      </c>
      <c r="C35" s="177" t="s">
        <v>136</v>
      </c>
      <c r="D35" s="178">
        <v>0</v>
      </c>
      <c r="E35" s="178">
        <v>0</v>
      </c>
      <c r="F35" s="179">
        <v>0</v>
      </c>
      <c r="G35" s="77">
        <v>0</v>
      </c>
      <c r="H35" s="78">
        <f t="shared" si="0"/>
        <v>0</v>
      </c>
      <c r="I35" s="78">
        <f t="shared" si="1"/>
        <v>0</v>
      </c>
      <c r="J35" s="77">
        <v>0</v>
      </c>
      <c r="K35" s="77">
        <v>0</v>
      </c>
      <c r="L35" s="78">
        <f t="shared" si="2"/>
        <v>0</v>
      </c>
      <c r="M35" s="174">
        <f t="shared" si="3"/>
        <v>0</v>
      </c>
      <c r="N35" s="339">
        <f t="shared" ca="1" si="4"/>
        <v>41284.323380902781</v>
      </c>
      <c r="O35" s="340" t="e">
        <f t="shared" si="5"/>
        <v>#VALUE!</v>
      </c>
      <c r="P35" s="340" t="e">
        <f t="shared" si="6"/>
        <v>#VALUE!</v>
      </c>
      <c r="Q35" s="340" t="e">
        <f t="shared" si="7"/>
        <v>#VALUE!</v>
      </c>
      <c r="R35" s="340">
        <f t="shared" ca="1" si="8"/>
        <v>2013</v>
      </c>
      <c r="S35" s="340">
        <f t="shared" ca="1" si="9"/>
        <v>1</v>
      </c>
      <c r="T35" s="340">
        <f t="shared" ca="1" si="10"/>
        <v>10</v>
      </c>
      <c r="U35" s="357" t="str">
        <f t="shared" si="11"/>
        <v>-</v>
      </c>
    </row>
    <row r="36" spans="1:21" x14ac:dyDescent="0.2">
      <c r="A36" s="77" t="s">
        <v>136</v>
      </c>
      <c r="B36" s="176" t="s">
        <v>136</v>
      </c>
      <c r="C36" s="177" t="s">
        <v>136</v>
      </c>
      <c r="D36" s="178">
        <v>0</v>
      </c>
      <c r="E36" s="178">
        <v>0</v>
      </c>
      <c r="F36" s="179">
        <v>0</v>
      </c>
      <c r="G36" s="77">
        <v>0</v>
      </c>
      <c r="H36" s="78">
        <f t="shared" si="0"/>
        <v>0</v>
      </c>
      <c r="I36" s="78">
        <f t="shared" si="1"/>
        <v>0</v>
      </c>
      <c r="J36" s="77">
        <v>0</v>
      </c>
      <c r="K36" s="77">
        <v>0</v>
      </c>
      <c r="L36" s="78">
        <f t="shared" si="2"/>
        <v>0</v>
      </c>
      <c r="M36" s="174">
        <f t="shared" si="3"/>
        <v>0</v>
      </c>
      <c r="N36" s="339">
        <f t="shared" ca="1" si="4"/>
        <v>41284.323380902781</v>
      </c>
      <c r="O36" s="340" t="e">
        <f t="shared" si="5"/>
        <v>#VALUE!</v>
      </c>
      <c r="P36" s="340" t="e">
        <f t="shared" si="6"/>
        <v>#VALUE!</v>
      </c>
      <c r="Q36" s="340" t="e">
        <f t="shared" si="7"/>
        <v>#VALUE!</v>
      </c>
      <c r="R36" s="340">
        <f t="shared" ca="1" si="8"/>
        <v>2013</v>
      </c>
      <c r="S36" s="340">
        <f t="shared" ca="1" si="9"/>
        <v>1</v>
      </c>
      <c r="T36" s="340">
        <f t="shared" ca="1" si="10"/>
        <v>10</v>
      </c>
      <c r="U36" s="357" t="str">
        <f t="shared" si="11"/>
        <v>-</v>
      </c>
    </row>
    <row r="37" spans="1:21" x14ac:dyDescent="0.2">
      <c r="A37" s="77" t="s">
        <v>136</v>
      </c>
      <c r="B37" s="176" t="s">
        <v>136</v>
      </c>
      <c r="C37" s="177" t="s">
        <v>136</v>
      </c>
      <c r="D37" s="178">
        <v>0</v>
      </c>
      <c r="E37" s="178">
        <v>0</v>
      </c>
      <c r="F37" s="179">
        <v>0</v>
      </c>
      <c r="G37" s="77">
        <v>0</v>
      </c>
      <c r="H37" s="78">
        <f t="shared" si="0"/>
        <v>0</v>
      </c>
      <c r="I37" s="78">
        <f t="shared" si="1"/>
        <v>0</v>
      </c>
      <c r="J37" s="77">
        <v>0</v>
      </c>
      <c r="K37" s="77">
        <v>0</v>
      </c>
      <c r="L37" s="78">
        <f t="shared" si="2"/>
        <v>0</v>
      </c>
      <c r="M37" s="174">
        <f t="shared" si="3"/>
        <v>0</v>
      </c>
      <c r="N37" s="339">
        <f t="shared" ca="1" si="4"/>
        <v>41284.323380902781</v>
      </c>
      <c r="O37" s="340" t="e">
        <f t="shared" si="5"/>
        <v>#VALUE!</v>
      </c>
      <c r="P37" s="340" t="e">
        <f t="shared" si="6"/>
        <v>#VALUE!</v>
      </c>
      <c r="Q37" s="340" t="e">
        <f t="shared" si="7"/>
        <v>#VALUE!</v>
      </c>
      <c r="R37" s="340">
        <f t="shared" ca="1" si="8"/>
        <v>2013</v>
      </c>
      <c r="S37" s="340">
        <f t="shared" ca="1" si="9"/>
        <v>1</v>
      </c>
      <c r="T37" s="340">
        <f t="shared" ca="1" si="10"/>
        <v>10</v>
      </c>
      <c r="U37" s="357" t="str">
        <f t="shared" si="11"/>
        <v>-</v>
      </c>
    </row>
    <row r="38" spans="1:21" x14ac:dyDescent="0.2">
      <c r="A38" s="77" t="s">
        <v>136</v>
      </c>
      <c r="B38" s="176" t="s">
        <v>136</v>
      </c>
      <c r="C38" s="177" t="s">
        <v>136</v>
      </c>
      <c r="D38" s="178">
        <v>0</v>
      </c>
      <c r="E38" s="178">
        <v>0</v>
      </c>
      <c r="F38" s="179">
        <v>0</v>
      </c>
      <c r="G38" s="77">
        <v>0</v>
      </c>
      <c r="H38" s="78">
        <f t="shared" si="0"/>
        <v>0</v>
      </c>
      <c r="I38" s="78">
        <f t="shared" si="1"/>
        <v>0</v>
      </c>
      <c r="J38" s="77">
        <v>0</v>
      </c>
      <c r="K38" s="77">
        <v>0</v>
      </c>
      <c r="L38" s="78">
        <f t="shared" si="2"/>
        <v>0</v>
      </c>
      <c r="M38" s="174">
        <f t="shared" si="3"/>
        <v>0</v>
      </c>
      <c r="N38" s="339">
        <f t="shared" ca="1" si="4"/>
        <v>41284.323380902781</v>
      </c>
      <c r="O38" s="340" t="e">
        <f t="shared" si="5"/>
        <v>#VALUE!</v>
      </c>
      <c r="P38" s="340" t="e">
        <f t="shared" si="6"/>
        <v>#VALUE!</v>
      </c>
      <c r="Q38" s="340" t="e">
        <f t="shared" si="7"/>
        <v>#VALUE!</v>
      </c>
      <c r="R38" s="340">
        <f t="shared" ca="1" si="8"/>
        <v>2013</v>
      </c>
      <c r="S38" s="340">
        <f t="shared" ca="1" si="9"/>
        <v>1</v>
      </c>
      <c r="T38" s="340">
        <f t="shared" ca="1" si="10"/>
        <v>10</v>
      </c>
      <c r="U38" s="357" t="str">
        <f t="shared" si="11"/>
        <v>-</v>
      </c>
    </row>
    <row r="39" spans="1:21" x14ac:dyDescent="0.2">
      <c r="A39" s="77" t="s">
        <v>136</v>
      </c>
      <c r="B39" s="176" t="s">
        <v>136</v>
      </c>
      <c r="C39" s="177" t="s">
        <v>136</v>
      </c>
      <c r="D39" s="178">
        <v>0</v>
      </c>
      <c r="E39" s="178">
        <v>0</v>
      </c>
      <c r="F39" s="179">
        <v>0</v>
      </c>
      <c r="G39" s="77">
        <v>0</v>
      </c>
      <c r="H39" s="78">
        <f t="shared" si="0"/>
        <v>0</v>
      </c>
      <c r="I39" s="78">
        <f t="shared" si="1"/>
        <v>0</v>
      </c>
      <c r="J39" s="77">
        <v>0</v>
      </c>
      <c r="K39" s="77">
        <v>0</v>
      </c>
      <c r="L39" s="78">
        <f t="shared" si="2"/>
        <v>0</v>
      </c>
      <c r="M39" s="174">
        <f t="shared" si="3"/>
        <v>0</v>
      </c>
      <c r="N39" s="339">
        <f t="shared" ca="1" si="4"/>
        <v>41284.323380902781</v>
      </c>
      <c r="O39" s="340" t="e">
        <f t="shared" si="5"/>
        <v>#VALUE!</v>
      </c>
      <c r="P39" s="340" t="e">
        <f t="shared" si="6"/>
        <v>#VALUE!</v>
      </c>
      <c r="Q39" s="340" t="e">
        <f t="shared" si="7"/>
        <v>#VALUE!</v>
      </c>
      <c r="R39" s="340">
        <f t="shared" ca="1" si="8"/>
        <v>2013</v>
      </c>
      <c r="S39" s="340">
        <f t="shared" ca="1" si="9"/>
        <v>1</v>
      </c>
      <c r="T39" s="340">
        <f t="shared" ca="1" si="10"/>
        <v>10</v>
      </c>
      <c r="U39" s="357" t="str">
        <f t="shared" si="11"/>
        <v>-</v>
      </c>
    </row>
    <row r="40" spans="1:21" x14ac:dyDescent="0.2">
      <c r="A40" s="77" t="s">
        <v>136</v>
      </c>
      <c r="B40" s="176" t="s">
        <v>136</v>
      </c>
      <c r="C40" s="177" t="s">
        <v>136</v>
      </c>
      <c r="D40" s="178">
        <v>0</v>
      </c>
      <c r="E40" s="178">
        <v>0</v>
      </c>
      <c r="F40" s="179">
        <v>0</v>
      </c>
      <c r="G40" s="77">
        <v>0</v>
      </c>
      <c r="H40" s="78">
        <f t="shared" si="0"/>
        <v>0</v>
      </c>
      <c r="I40" s="78">
        <f t="shared" si="1"/>
        <v>0</v>
      </c>
      <c r="J40" s="77">
        <v>0</v>
      </c>
      <c r="K40" s="77">
        <v>0</v>
      </c>
      <c r="L40" s="78">
        <f t="shared" si="2"/>
        <v>0</v>
      </c>
      <c r="M40" s="174">
        <f t="shared" si="3"/>
        <v>0</v>
      </c>
      <c r="N40" s="339">
        <f t="shared" ca="1" si="4"/>
        <v>41284.323380902781</v>
      </c>
      <c r="O40" s="340" t="e">
        <f t="shared" si="5"/>
        <v>#VALUE!</v>
      </c>
      <c r="P40" s="340" t="e">
        <f t="shared" si="6"/>
        <v>#VALUE!</v>
      </c>
      <c r="Q40" s="340" t="e">
        <f t="shared" si="7"/>
        <v>#VALUE!</v>
      </c>
      <c r="R40" s="340">
        <f t="shared" ca="1" si="8"/>
        <v>2013</v>
      </c>
      <c r="S40" s="340">
        <f t="shared" ca="1" si="9"/>
        <v>1</v>
      </c>
      <c r="T40" s="340">
        <f t="shared" ca="1" si="10"/>
        <v>10</v>
      </c>
      <c r="U40" s="357" t="str">
        <f t="shared" si="11"/>
        <v>-</v>
      </c>
    </row>
    <row r="41" spans="1:21" x14ac:dyDescent="0.2">
      <c r="A41" s="77" t="s">
        <v>136</v>
      </c>
      <c r="B41" s="176" t="s">
        <v>136</v>
      </c>
      <c r="C41" s="177" t="s">
        <v>136</v>
      </c>
      <c r="D41" s="178">
        <v>0</v>
      </c>
      <c r="E41" s="178">
        <v>0</v>
      </c>
      <c r="F41" s="179">
        <v>0</v>
      </c>
      <c r="G41" s="77">
        <v>0</v>
      </c>
      <c r="H41" s="78">
        <f t="shared" si="0"/>
        <v>0</v>
      </c>
      <c r="I41" s="78">
        <f t="shared" si="1"/>
        <v>0</v>
      </c>
      <c r="J41" s="77">
        <v>0</v>
      </c>
      <c r="K41" s="77">
        <v>0</v>
      </c>
      <c r="L41" s="78">
        <f t="shared" si="2"/>
        <v>0</v>
      </c>
      <c r="M41" s="174">
        <f t="shared" si="3"/>
        <v>0</v>
      </c>
      <c r="N41" s="339">
        <f t="shared" ca="1" si="4"/>
        <v>41284.323380902781</v>
      </c>
      <c r="O41" s="340" t="e">
        <f t="shared" si="5"/>
        <v>#VALUE!</v>
      </c>
      <c r="P41" s="340" t="e">
        <f t="shared" si="6"/>
        <v>#VALUE!</v>
      </c>
      <c r="Q41" s="340" t="e">
        <f t="shared" si="7"/>
        <v>#VALUE!</v>
      </c>
      <c r="R41" s="340">
        <f t="shared" ca="1" si="8"/>
        <v>2013</v>
      </c>
      <c r="S41" s="340">
        <f t="shared" ca="1" si="9"/>
        <v>1</v>
      </c>
      <c r="T41" s="340">
        <f t="shared" ca="1" si="10"/>
        <v>10</v>
      </c>
      <c r="U41" s="357" t="str">
        <f t="shared" si="11"/>
        <v>-</v>
      </c>
    </row>
    <row r="42" spans="1:21" x14ac:dyDescent="0.2">
      <c r="A42" s="77" t="s">
        <v>136</v>
      </c>
      <c r="B42" s="176" t="s">
        <v>136</v>
      </c>
      <c r="C42" s="177" t="s">
        <v>136</v>
      </c>
      <c r="D42" s="178">
        <v>0</v>
      </c>
      <c r="E42" s="178">
        <v>0</v>
      </c>
      <c r="F42" s="179">
        <v>0</v>
      </c>
      <c r="G42" s="77">
        <v>0</v>
      </c>
      <c r="H42" s="78">
        <f t="shared" si="0"/>
        <v>0</v>
      </c>
      <c r="I42" s="78">
        <f t="shared" si="1"/>
        <v>0</v>
      </c>
      <c r="J42" s="77">
        <v>0</v>
      </c>
      <c r="K42" s="77">
        <v>0</v>
      </c>
      <c r="L42" s="78">
        <f t="shared" si="2"/>
        <v>0</v>
      </c>
      <c r="M42" s="174">
        <f t="shared" si="3"/>
        <v>0</v>
      </c>
      <c r="N42" s="339">
        <f t="shared" ca="1" si="4"/>
        <v>41284.323380902781</v>
      </c>
      <c r="O42" s="340" t="e">
        <f t="shared" si="5"/>
        <v>#VALUE!</v>
      </c>
      <c r="P42" s="340" t="e">
        <f t="shared" si="6"/>
        <v>#VALUE!</v>
      </c>
      <c r="Q42" s="340" t="e">
        <f t="shared" si="7"/>
        <v>#VALUE!</v>
      </c>
      <c r="R42" s="340">
        <f t="shared" ca="1" si="8"/>
        <v>2013</v>
      </c>
      <c r="S42" s="340">
        <f t="shared" ca="1" si="9"/>
        <v>1</v>
      </c>
      <c r="T42" s="340">
        <f t="shared" ca="1" si="10"/>
        <v>10</v>
      </c>
      <c r="U42" s="357" t="str">
        <f t="shared" si="11"/>
        <v>-</v>
      </c>
    </row>
    <row r="43" spans="1:21" x14ac:dyDescent="0.2">
      <c r="A43" s="77" t="s">
        <v>136</v>
      </c>
      <c r="B43" s="176" t="s">
        <v>136</v>
      </c>
      <c r="C43" s="177" t="s">
        <v>136</v>
      </c>
      <c r="D43" s="178">
        <v>0</v>
      </c>
      <c r="E43" s="178">
        <v>0</v>
      </c>
      <c r="F43" s="179">
        <v>0</v>
      </c>
      <c r="G43" s="77">
        <v>0</v>
      </c>
      <c r="H43" s="78">
        <f t="shared" si="0"/>
        <v>0</v>
      </c>
      <c r="I43" s="78">
        <f t="shared" si="1"/>
        <v>0</v>
      </c>
      <c r="J43" s="77">
        <v>0</v>
      </c>
      <c r="K43" s="77">
        <v>0</v>
      </c>
      <c r="L43" s="78">
        <f t="shared" si="2"/>
        <v>0</v>
      </c>
      <c r="M43" s="174">
        <f t="shared" si="3"/>
        <v>0</v>
      </c>
      <c r="N43" s="339">
        <f t="shared" ca="1" si="4"/>
        <v>41284.323380902781</v>
      </c>
      <c r="O43" s="340" t="e">
        <f t="shared" si="5"/>
        <v>#VALUE!</v>
      </c>
      <c r="P43" s="340" t="e">
        <f t="shared" si="6"/>
        <v>#VALUE!</v>
      </c>
      <c r="Q43" s="340" t="e">
        <f t="shared" si="7"/>
        <v>#VALUE!</v>
      </c>
      <c r="R43" s="340">
        <f t="shared" ca="1" si="8"/>
        <v>2013</v>
      </c>
      <c r="S43" s="340">
        <f t="shared" ca="1" si="9"/>
        <v>1</v>
      </c>
      <c r="T43" s="340">
        <f t="shared" ca="1" si="10"/>
        <v>10</v>
      </c>
      <c r="U43" s="357" t="str">
        <f t="shared" si="11"/>
        <v>-</v>
      </c>
    </row>
    <row r="44" spans="1:21" x14ac:dyDescent="0.2">
      <c r="A44" s="77" t="s">
        <v>136</v>
      </c>
      <c r="B44" s="176" t="s">
        <v>136</v>
      </c>
      <c r="C44" s="177" t="s">
        <v>136</v>
      </c>
      <c r="D44" s="178">
        <v>0</v>
      </c>
      <c r="E44" s="178">
        <v>0</v>
      </c>
      <c r="F44" s="179">
        <v>0</v>
      </c>
      <c r="G44" s="77">
        <v>0</v>
      </c>
      <c r="H44" s="78">
        <f t="shared" si="0"/>
        <v>0</v>
      </c>
      <c r="I44" s="78">
        <f t="shared" si="1"/>
        <v>0</v>
      </c>
      <c r="J44" s="77">
        <v>0</v>
      </c>
      <c r="K44" s="77">
        <v>0</v>
      </c>
      <c r="L44" s="78">
        <f t="shared" si="2"/>
        <v>0</v>
      </c>
      <c r="M44" s="174">
        <f t="shared" si="3"/>
        <v>0</v>
      </c>
      <c r="N44" s="339">
        <f t="shared" ca="1" si="4"/>
        <v>41284.323380902781</v>
      </c>
      <c r="O44" s="340" t="e">
        <f t="shared" si="5"/>
        <v>#VALUE!</v>
      </c>
      <c r="P44" s="340" t="e">
        <f t="shared" si="6"/>
        <v>#VALUE!</v>
      </c>
      <c r="Q44" s="340" t="e">
        <f t="shared" si="7"/>
        <v>#VALUE!</v>
      </c>
      <c r="R44" s="340">
        <f t="shared" ca="1" si="8"/>
        <v>2013</v>
      </c>
      <c r="S44" s="340">
        <f t="shared" ca="1" si="9"/>
        <v>1</v>
      </c>
      <c r="T44" s="340">
        <f t="shared" ca="1" si="10"/>
        <v>10</v>
      </c>
      <c r="U44" s="357" t="str">
        <f t="shared" si="11"/>
        <v>-</v>
      </c>
    </row>
    <row r="45" spans="1:21" x14ac:dyDescent="0.2">
      <c r="A45" s="77" t="s">
        <v>136</v>
      </c>
      <c r="B45" s="176" t="s">
        <v>136</v>
      </c>
      <c r="C45" s="177" t="s">
        <v>136</v>
      </c>
      <c r="D45" s="178">
        <v>0</v>
      </c>
      <c r="E45" s="178">
        <v>0</v>
      </c>
      <c r="F45" s="179">
        <v>0</v>
      </c>
      <c r="G45" s="77">
        <v>0</v>
      </c>
      <c r="H45" s="78">
        <f t="shared" si="0"/>
        <v>0</v>
      </c>
      <c r="I45" s="78">
        <f t="shared" si="1"/>
        <v>0</v>
      </c>
      <c r="J45" s="77">
        <v>0</v>
      </c>
      <c r="K45" s="77">
        <v>0</v>
      </c>
      <c r="L45" s="78">
        <f t="shared" si="2"/>
        <v>0</v>
      </c>
      <c r="M45" s="174">
        <f t="shared" si="3"/>
        <v>0</v>
      </c>
      <c r="N45" s="339">
        <f t="shared" ca="1" si="4"/>
        <v>41284.323380902781</v>
      </c>
      <c r="O45" s="340" t="e">
        <f t="shared" si="5"/>
        <v>#VALUE!</v>
      </c>
      <c r="P45" s="340" t="e">
        <f t="shared" si="6"/>
        <v>#VALUE!</v>
      </c>
      <c r="Q45" s="340" t="e">
        <f t="shared" si="7"/>
        <v>#VALUE!</v>
      </c>
      <c r="R45" s="340">
        <f t="shared" ca="1" si="8"/>
        <v>2013</v>
      </c>
      <c r="S45" s="340">
        <f t="shared" ca="1" si="9"/>
        <v>1</v>
      </c>
      <c r="T45" s="340">
        <f t="shared" ca="1" si="10"/>
        <v>10</v>
      </c>
      <c r="U45" s="357" t="str">
        <f t="shared" si="11"/>
        <v>-</v>
      </c>
    </row>
    <row r="46" spans="1:21" x14ac:dyDescent="0.2">
      <c r="A46" s="77" t="s">
        <v>136</v>
      </c>
      <c r="B46" s="176" t="s">
        <v>136</v>
      </c>
      <c r="C46" s="177" t="s">
        <v>136</v>
      </c>
      <c r="D46" s="178">
        <v>0</v>
      </c>
      <c r="E46" s="178">
        <v>0</v>
      </c>
      <c r="F46" s="179">
        <v>0</v>
      </c>
      <c r="G46" s="77">
        <v>0</v>
      </c>
      <c r="H46" s="78">
        <f t="shared" si="0"/>
        <v>0</v>
      </c>
      <c r="I46" s="78">
        <f t="shared" si="1"/>
        <v>0</v>
      </c>
      <c r="J46" s="77">
        <v>0</v>
      </c>
      <c r="K46" s="77">
        <v>0</v>
      </c>
      <c r="L46" s="78">
        <f t="shared" si="2"/>
        <v>0</v>
      </c>
      <c r="M46" s="174">
        <f t="shared" si="3"/>
        <v>0</v>
      </c>
      <c r="N46" s="339">
        <f t="shared" ca="1" si="4"/>
        <v>41284.323380902781</v>
      </c>
      <c r="O46" s="340" t="e">
        <f t="shared" si="5"/>
        <v>#VALUE!</v>
      </c>
      <c r="P46" s="340" t="e">
        <f t="shared" si="6"/>
        <v>#VALUE!</v>
      </c>
      <c r="Q46" s="340" t="e">
        <f t="shared" si="7"/>
        <v>#VALUE!</v>
      </c>
      <c r="R46" s="340">
        <f t="shared" ca="1" si="8"/>
        <v>2013</v>
      </c>
      <c r="S46" s="340">
        <f t="shared" ca="1" si="9"/>
        <v>1</v>
      </c>
      <c r="T46" s="340">
        <f t="shared" ca="1" si="10"/>
        <v>10</v>
      </c>
      <c r="U46" s="357" t="str">
        <f t="shared" si="11"/>
        <v>-</v>
      </c>
    </row>
    <row r="47" spans="1:21" x14ac:dyDescent="0.2">
      <c r="A47" s="77" t="s">
        <v>136</v>
      </c>
      <c r="B47" s="176" t="s">
        <v>136</v>
      </c>
      <c r="C47" s="177" t="s">
        <v>136</v>
      </c>
      <c r="D47" s="178">
        <v>0</v>
      </c>
      <c r="E47" s="178">
        <v>0</v>
      </c>
      <c r="F47" s="179">
        <v>0</v>
      </c>
      <c r="G47" s="77">
        <v>0</v>
      </c>
      <c r="H47" s="78">
        <f t="shared" si="0"/>
        <v>0</v>
      </c>
      <c r="I47" s="78">
        <f t="shared" si="1"/>
        <v>0</v>
      </c>
      <c r="J47" s="77">
        <v>0</v>
      </c>
      <c r="K47" s="77">
        <v>0</v>
      </c>
      <c r="L47" s="78">
        <f t="shared" si="2"/>
        <v>0</v>
      </c>
      <c r="M47" s="174">
        <f t="shared" si="3"/>
        <v>0</v>
      </c>
      <c r="N47" s="339">
        <f t="shared" ca="1" si="4"/>
        <v>41284.323380902781</v>
      </c>
      <c r="O47" s="340" t="e">
        <f t="shared" si="5"/>
        <v>#VALUE!</v>
      </c>
      <c r="P47" s="340" t="e">
        <f t="shared" si="6"/>
        <v>#VALUE!</v>
      </c>
      <c r="Q47" s="340" t="e">
        <f t="shared" si="7"/>
        <v>#VALUE!</v>
      </c>
      <c r="R47" s="340">
        <f t="shared" ca="1" si="8"/>
        <v>2013</v>
      </c>
      <c r="S47" s="340">
        <f t="shared" ca="1" si="9"/>
        <v>1</v>
      </c>
      <c r="T47" s="340">
        <f t="shared" ca="1" si="10"/>
        <v>10</v>
      </c>
      <c r="U47" s="357" t="str">
        <f t="shared" si="11"/>
        <v>-</v>
      </c>
    </row>
    <row r="48" spans="1:21" x14ac:dyDescent="0.2">
      <c r="A48" s="77" t="s">
        <v>136</v>
      </c>
      <c r="B48" s="176" t="s">
        <v>136</v>
      </c>
      <c r="C48" s="177" t="s">
        <v>136</v>
      </c>
      <c r="D48" s="178">
        <v>0</v>
      </c>
      <c r="E48" s="178">
        <v>0</v>
      </c>
      <c r="F48" s="179">
        <v>0</v>
      </c>
      <c r="G48" s="77">
        <v>0</v>
      </c>
      <c r="H48" s="78">
        <f t="shared" si="0"/>
        <v>0</v>
      </c>
      <c r="I48" s="78">
        <f t="shared" si="1"/>
        <v>0</v>
      </c>
      <c r="J48" s="77">
        <v>0</v>
      </c>
      <c r="K48" s="77">
        <v>0</v>
      </c>
      <c r="L48" s="78">
        <f t="shared" si="2"/>
        <v>0</v>
      </c>
      <c r="M48" s="174">
        <f t="shared" si="3"/>
        <v>0</v>
      </c>
      <c r="N48" s="339">
        <f t="shared" ca="1" si="4"/>
        <v>41284.323380902781</v>
      </c>
      <c r="O48" s="340" t="e">
        <f t="shared" si="5"/>
        <v>#VALUE!</v>
      </c>
      <c r="P48" s="340" t="e">
        <f t="shared" si="6"/>
        <v>#VALUE!</v>
      </c>
      <c r="Q48" s="340" t="e">
        <f t="shared" si="7"/>
        <v>#VALUE!</v>
      </c>
      <c r="R48" s="340">
        <f t="shared" ca="1" si="8"/>
        <v>2013</v>
      </c>
      <c r="S48" s="340">
        <f t="shared" ca="1" si="9"/>
        <v>1</v>
      </c>
      <c r="T48" s="340">
        <f t="shared" ca="1" si="10"/>
        <v>10</v>
      </c>
      <c r="U48" s="357" t="str">
        <f t="shared" si="11"/>
        <v>-</v>
      </c>
    </row>
    <row r="49" spans="1:21" x14ac:dyDescent="0.2">
      <c r="A49" s="77" t="s">
        <v>136</v>
      </c>
      <c r="B49" s="176" t="s">
        <v>136</v>
      </c>
      <c r="C49" s="177" t="s">
        <v>136</v>
      </c>
      <c r="D49" s="178">
        <v>0</v>
      </c>
      <c r="E49" s="178">
        <v>0</v>
      </c>
      <c r="F49" s="179">
        <v>0</v>
      </c>
      <c r="G49" s="77">
        <v>0</v>
      </c>
      <c r="H49" s="78">
        <f t="shared" si="0"/>
        <v>0</v>
      </c>
      <c r="I49" s="78">
        <f t="shared" si="1"/>
        <v>0</v>
      </c>
      <c r="J49" s="77">
        <v>0</v>
      </c>
      <c r="K49" s="77">
        <v>0</v>
      </c>
      <c r="L49" s="78">
        <f t="shared" si="2"/>
        <v>0</v>
      </c>
      <c r="M49" s="174">
        <f t="shared" si="3"/>
        <v>0</v>
      </c>
      <c r="N49" s="339">
        <f t="shared" ca="1" si="4"/>
        <v>41284.323380902781</v>
      </c>
      <c r="O49" s="340" t="e">
        <f t="shared" si="5"/>
        <v>#VALUE!</v>
      </c>
      <c r="P49" s="340" t="e">
        <f t="shared" si="6"/>
        <v>#VALUE!</v>
      </c>
      <c r="Q49" s="340" t="e">
        <f t="shared" si="7"/>
        <v>#VALUE!</v>
      </c>
      <c r="R49" s="340">
        <f t="shared" ca="1" si="8"/>
        <v>2013</v>
      </c>
      <c r="S49" s="340">
        <f t="shared" ca="1" si="9"/>
        <v>1</v>
      </c>
      <c r="T49" s="340">
        <f t="shared" ca="1" si="10"/>
        <v>10</v>
      </c>
      <c r="U49" s="357" t="str">
        <f t="shared" si="11"/>
        <v>-</v>
      </c>
    </row>
    <row r="50" spans="1:21" x14ac:dyDescent="0.2">
      <c r="A50" s="77" t="s">
        <v>136</v>
      </c>
      <c r="B50" s="176" t="s">
        <v>136</v>
      </c>
      <c r="C50" s="177" t="s">
        <v>136</v>
      </c>
      <c r="D50" s="178">
        <v>0</v>
      </c>
      <c r="E50" s="178">
        <v>0</v>
      </c>
      <c r="F50" s="179">
        <v>0</v>
      </c>
      <c r="G50" s="77">
        <v>0</v>
      </c>
      <c r="H50" s="78">
        <f t="shared" si="0"/>
        <v>0</v>
      </c>
      <c r="I50" s="78">
        <f t="shared" si="1"/>
        <v>0</v>
      </c>
      <c r="J50" s="77">
        <v>0</v>
      </c>
      <c r="K50" s="77">
        <v>0</v>
      </c>
      <c r="L50" s="78">
        <f t="shared" si="2"/>
        <v>0</v>
      </c>
      <c r="M50" s="174">
        <f t="shared" si="3"/>
        <v>0</v>
      </c>
      <c r="N50" s="339">
        <f t="shared" ca="1" si="4"/>
        <v>41284.323380902781</v>
      </c>
      <c r="O50" s="340" t="e">
        <f t="shared" si="5"/>
        <v>#VALUE!</v>
      </c>
      <c r="P50" s="340" t="e">
        <f t="shared" si="6"/>
        <v>#VALUE!</v>
      </c>
      <c r="Q50" s="340" t="e">
        <f t="shared" si="7"/>
        <v>#VALUE!</v>
      </c>
      <c r="R50" s="340">
        <f t="shared" ca="1" si="8"/>
        <v>2013</v>
      </c>
      <c r="S50" s="340">
        <f t="shared" ca="1" si="9"/>
        <v>1</v>
      </c>
      <c r="T50" s="340">
        <f t="shared" ca="1" si="10"/>
        <v>10</v>
      </c>
      <c r="U50" s="357" t="str">
        <f t="shared" si="11"/>
        <v>-</v>
      </c>
    </row>
    <row r="51" spans="1:21" x14ac:dyDescent="0.2">
      <c r="A51" s="77" t="s">
        <v>136</v>
      </c>
      <c r="B51" s="176" t="s">
        <v>136</v>
      </c>
      <c r="C51" s="177" t="s">
        <v>136</v>
      </c>
      <c r="D51" s="178">
        <v>0</v>
      </c>
      <c r="E51" s="178">
        <v>0</v>
      </c>
      <c r="F51" s="179">
        <v>0</v>
      </c>
      <c r="G51" s="77">
        <v>0</v>
      </c>
      <c r="H51" s="78">
        <f t="shared" si="0"/>
        <v>0</v>
      </c>
      <c r="I51" s="78">
        <f t="shared" si="1"/>
        <v>0</v>
      </c>
      <c r="J51" s="77">
        <v>0</v>
      </c>
      <c r="K51" s="77">
        <v>0</v>
      </c>
      <c r="L51" s="78">
        <f t="shared" si="2"/>
        <v>0</v>
      </c>
      <c r="M51" s="174">
        <f t="shared" si="3"/>
        <v>0</v>
      </c>
      <c r="N51" s="339">
        <f t="shared" ca="1" si="4"/>
        <v>41284.323380902781</v>
      </c>
      <c r="O51" s="340" t="e">
        <f t="shared" si="5"/>
        <v>#VALUE!</v>
      </c>
      <c r="P51" s="340" t="e">
        <f t="shared" si="6"/>
        <v>#VALUE!</v>
      </c>
      <c r="Q51" s="340" t="e">
        <f t="shared" si="7"/>
        <v>#VALUE!</v>
      </c>
      <c r="R51" s="340">
        <f t="shared" ca="1" si="8"/>
        <v>2013</v>
      </c>
      <c r="S51" s="340">
        <f t="shared" ca="1" si="9"/>
        <v>1</v>
      </c>
      <c r="T51" s="340">
        <f t="shared" ca="1" si="10"/>
        <v>10</v>
      </c>
      <c r="U51" s="357" t="str">
        <f t="shared" si="11"/>
        <v>-</v>
      </c>
    </row>
    <row r="52" spans="1:21" x14ac:dyDescent="0.2">
      <c r="A52" s="77" t="s">
        <v>136</v>
      </c>
      <c r="B52" s="176" t="s">
        <v>136</v>
      </c>
      <c r="C52" s="177" t="s">
        <v>136</v>
      </c>
      <c r="D52" s="178">
        <v>0</v>
      </c>
      <c r="E52" s="178">
        <v>0</v>
      </c>
      <c r="F52" s="179">
        <v>0</v>
      </c>
      <c r="G52" s="77">
        <v>0</v>
      </c>
      <c r="H52" s="78">
        <f t="shared" si="0"/>
        <v>0</v>
      </c>
      <c r="I52" s="78">
        <f t="shared" si="1"/>
        <v>0</v>
      </c>
      <c r="J52" s="77">
        <v>0</v>
      </c>
      <c r="K52" s="77">
        <v>0</v>
      </c>
      <c r="L52" s="78">
        <f t="shared" si="2"/>
        <v>0</v>
      </c>
      <c r="M52" s="174">
        <f t="shared" si="3"/>
        <v>0</v>
      </c>
      <c r="N52" s="339">
        <f t="shared" ca="1" si="4"/>
        <v>41284.323380902781</v>
      </c>
      <c r="O52" s="340" t="e">
        <f t="shared" si="5"/>
        <v>#VALUE!</v>
      </c>
      <c r="P52" s="340" t="e">
        <f t="shared" si="6"/>
        <v>#VALUE!</v>
      </c>
      <c r="Q52" s="340" t="e">
        <f t="shared" si="7"/>
        <v>#VALUE!</v>
      </c>
      <c r="R52" s="340">
        <f t="shared" ca="1" si="8"/>
        <v>2013</v>
      </c>
      <c r="S52" s="340">
        <f t="shared" ca="1" si="9"/>
        <v>1</v>
      </c>
      <c r="T52" s="340">
        <f t="shared" ca="1" si="10"/>
        <v>10</v>
      </c>
      <c r="U52" s="357" t="str">
        <f t="shared" si="11"/>
        <v>-</v>
      </c>
    </row>
    <row r="53" spans="1:21" x14ac:dyDescent="0.2">
      <c r="A53" s="77" t="s">
        <v>136</v>
      </c>
      <c r="B53" s="176" t="s">
        <v>136</v>
      </c>
      <c r="C53" s="177" t="s">
        <v>136</v>
      </c>
      <c r="D53" s="178">
        <v>0</v>
      </c>
      <c r="E53" s="178">
        <v>0</v>
      </c>
      <c r="F53" s="179">
        <v>0</v>
      </c>
      <c r="G53" s="77">
        <v>0</v>
      </c>
      <c r="H53" s="78">
        <f t="shared" si="0"/>
        <v>0</v>
      </c>
      <c r="I53" s="78">
        <f t="shared" si="1"/>
        <v>0</v>
      </c>
      <c r="J53" s="77">
        <v>0</v>
      </c>
      <c r="K53" s="77">
        <v>0</v>
      </c>
      <c r="L53" s="78">
        <f t="shared" si="2"/>
        <v>0</v>
      </c>
      <c r="M53" s="174">
        <f t="shared" si="3"/>
        <v>0</v>
      </c>
      <c r="N53" s="339">
        <f t="shared" ca="1" si="4"/>
        <v>41284.323380902781</v>
      </c>
      <c r="O53" s="340" t="e">
        <f t="shared" si="5"/>
        <v>#VALUE!</v>
      </c>
      <c r="P53" s="340" t="e">
        <f t="shared" si="6"/>
        <v>#VALUE!</v>
      </c>
      <c r="Q53" s="340" t="e">
        <f t="shared" si="7"/>
        <v>#VALUE!</v>
      </c>
      <c r="R53" s="340">
        <f t="shared" ca="1" si="8"/>
        <v>2013</v>
      </c>
      <c r="S53" s="340">
        <f t="shared" ca="1" si="9"/>
        <v>1</v>
      </c>
      <c r="T53" s="340">
        <f t="shared" ca="1" si="10"/>
        <v>10</v>
      </c>
      <c r="U53" s="357" t="str">
        <f t="shared" si="11"/>
        <v>-</v>
      </c>
    </row>
    <row r="54" spans="1:21" x14ac:dyDescent="0.2">
      <c r="A54" s="77" t="s">
        <v>136</v>
      </c>
      <c r="B54" s="176" t="s">
        <v>136</v>
      </c>
      <c r="C54" s="177" t="s">
        <v>136</v>
      </c>
      <c r="D54" s="178">
        <v>0</v>
      </c>
      <c r="E54" s="178">
        <v>0</v>
      </c>
      <c r="F54" s="179">
        <v>0</v>
      </c>
      <c r="G54" s="77">
        <v>0</v>
      </c>
      <c r="H54" s="78">
        <f t="shared" si="0"/>
        <v>0</v>
      </c>
      <c r="I54" s="78">
        <f t="shared" si="1"/>
        <v>0</v>
      </c>
      <c r="J54" s="77">
        <v>0</v>
      </c>
      <c r="K54" s="77">
        <v>0</v>
      </c>
      <c r="L54" s="78">
        <f t="shared" si="2"/>
        <v>0</v>
      </c>
      <c r="M54" s="174">
        <f t="shared" si="3"/>
        <v>0</v>
      </c>
      <c r="N54" s="339">
        <f t="shared" ca="1" si="4"/>
        <v>41284.323380902781</v>
      </c>
      <c r="O54" s="340" t="e">
        <f t="shared" si="5"/>
        <v>#VALUE!</v>
      </c>
      <c r="P54" s="340" t="e">
        <f t="shared" si="6"/>
        <v>#VALUE!</v>
      </c>
      <c r="Q54" s="340" t="e">
        <f t="shared" si="7"/>
        <v>#VALUE!</v>
      </c>
      <c r="R54" s="340">
        <f t="shared" ca="1" si="8"/>
        <v>2013</v>
      </c>
      <c r="S54" s="340">
        <f t="shared" ca="1" si="9"/>
        <v>1</v>
      </c>
      <c r="T54" s="340">
        <f t="shared" ca="1" si="10"/>
        <v>10</v>
      </c>
      <c r="U54" s="357" t="str">
        <f t="shared" si="11"/>
        <v>-</v>
      </c>
    </row>
    <row r="55" spans="1:21" x14ac:dyDescent="0.2">
      <c r="A55" s="77" t="s">
        <v>136</v>
      </c>
      <c r="B55" s="176" t="s">
        <v>136</v>
      </c>
      <c r="C55" s="177" t="s">
        <v>136</v>
      </c>
      <c r="D55" s="178">
        <v>0</v>
      </c>
      <c r="E55" s="178">
        <v>0</v>
      </c>
      <c r="F55" s="179">
        <v>0</v>
      </c>
      <c r="G55" s="77">
        <v>0</v>
      </c>
      <c r="H55" s="78">
        <f t="shared" si="0"/>
        <v>0</v>
      </c>
      <c r="I55" s="78">
        <f t="shared" si="1"/>
        <v>0</v>
      </c>
      <c r="J55" s="77">
        <v>0</v>
      </c>
      <c r="K55" s="77">
        <v>0</v>
      </c>
      <c r="L55" s="78">
        <f t="shared" si="2"/>
        <v>0</v>
      </c>
      <c r="M55" s="174">
        <f t="shared" si="3"/>
        <v>0</v>
      </c>
      <c r="N55" s="339">
        <f t="shared" ca="1" si="4"/>
        <v>41284.323380902781</v>
      </c>
      <c r="O55" s="340" t="e">
        <f t="shared" si="5"/>
        <v>#VALUE!</v>
      </c>
      <c r="P55" s="340" t="e">
        <f t="shared" si="6"/>
        <v>#VALUE!</v>
      </c>
      <c r="Q55" s="340" t="e">
        <f t="shared" si="7"/>
        <v>#VALUE!</v>
      </c>
      <c r="R55" s="340">
        <f t="shared" ca="1" si="8"/>
        <v>2013</v>
      </c>
      <c r="S55" s="340">
        <f t="shared" ca="1" si="9"/>
        <v>1</v>
      </c>
      <c r="T55" s="340">
        <f t="shared" ca="1" si="10"/>
        <v>10</v>
      </c>
      <c r="U55" s="357" t="str">
        <f t="shared" si="11"/>
        <v>-</v>
      </c>
    </row>
    <row r="56" spans="1:21" x14ac:dyDescent="0.2">
      <c r="A56" s="77" t="s">
        <v>136</v>
      </c>
      <c r="B56" s="176" t="s">
        <v>136</v>
      </c>
      <c r="C56" s="177" t="s">
        <v>136</v>
      </c>
      <c r="D56" s="178">
        <v>0</v>
      </c>
      <c r="E56" s="178">
        <v>0</v>
      </c>
      <c r="F56" s="179">
        <v>0</v>
      </c>
      <c r="G56" s="77">
        <v>0</v>
      </c>
      <c r="H56" s="78">
        <f t="shared" si="0"/>
        <v>0</v>
      </c>
      <c r="I56" s="78">
        <f t="shared" si="1"/>
        <v>0</v>
      </c>
      <c r="J56" s="77">
        <v>0</v>
      </c>
      <c r="K56" s="77">
        <v>0</v>
      </c>
      <c r="L56" s="78">
        <f t="shared" si="2"/>
        <v>0</v>
      </c>
      <c r="M56" s="174">
        <f t="shared" si="3"/>
        <v>0</v>
      </c>
      <c r="N56" s="339">
        <f t="shared" ca="1" si="4"/>
        <v>41284.323380902781</v>
      </c>
      <c r="O56" s="340" t="e">
        <f t="shared" si="5"/>
        <v>#VALUE!</v>
      </c>
      <c r="P56" s="340" t="e">
        <f t="shared" si="6"/>
        <v>#VALUE!</v>
      </c>
      <c r="Q56" s="340" t="e">
        <f t="shared" si="7"/>
        <v>#VALUE!</v>
      </c>
      <c r="R56" s="340">
        <f t="shared" ca="1" si="8"/>
        <v>2013</v>
      </c>
      <c r="S56" s="340">
        <f t="shared" ca="1" si="9"/>
        <v>1</v>
      </c>
      <c r="T56" s="340">
        <f t="shared" ca="1" si="10"/>
        <v>10</v>
      </c>
      <c r="U56" s="357" t="str">
        <f t="shared" si="11"/>
        <v>-</v>
      </c>
    </row>
    <row r="57" spans="1:21" x14ac:dyDescent="0.2">
      <c r="A57" s="77" t="s">
        <v>136</v>
      </c>
      <c r="B57" s="176" t="s">
        <v>136</v>
      </c>
      <c r="C57" s="177" t="s">
        <v>136</v>
      </c>
      <c r="D57" s="178">
        <v>0</v>
      </c>
      <c r="E57" s="178">
        <v>0</v>
      </c>
      <c r="F57" s="179">
        <v>0</v>
      </c>
      <c r="G57" s="77">
        <v>0</v>
      </c>
      <c r="H57" s="78">
        <f t="shared" si="0"/>
        <v>0</v>
      </c>
      <c r="I57" s="78">
        <f t="shared" si="1"/>
        <v>0</v>
      </c>
      <c r="J57" s="77">
        <v>0</v>
      </c>
      <c r="K57" s="77">
        <v>0</v>
      </c>
      <c r="L57" s="78">
        <f t="shared" si="2"/>
        <v>0</v>
      </c>
      <c r="M57" s="174">
        <f t="shared" si="3"/>
        <v>0</v>
      </c>
      <c r="N57" s="339">
        <f t="shared" ca="1" si="4"/>
        <v>41284.323380902781</v>
      </c>
      <c r="O57" s="340" t="e">
        <f t="shared" si="5"/>
        <v>#VALUE!</v>
      </c>
      <c r="P57" s="340" t="e">
        <f t="shared" si="6"/>
        <v>#VALUE!</v>
      </c>
      <c r="Q57" s="340" t="e">
        <f t="shared" si="7"/>
        <v>#VALUE!</v>
      </c>
      <c r="R57" s="340">
        <f t="shared" ca="1" si="8"/>
        <v>2013</v>
      </c>
      <c r="S57" s="340">
        <f t="shared" ca="1" si="9"/>
        <v>1</v>
      </c>
      <c r="T57" s="340">
        <f t="shared" ca="1" si="10"/>
        <v>10</v>
      </c>
      <c r="U57" s="357" t="str">
        <f t="shared" si="11"/>
        <v>-</v>
      </c>
    </row>
    <row r="58" spans="1:21" x14ac:dyDescent="0.2">
      <c r="A58" s="77" t="s">
        <v>136</v>
      </c>
      <c r="B58" s="176" t="s">
        <v>136</v>
      </c>
      <c r="C58" s="177" t="s">
        <v>136</v>
      </c>
      <c r="D58" s="178">
        <v>0</v>
      </c>
      <c r="E58" s="178">
        <v>0</v>
      </c>
      <c r="F58" s="179">
        <v>0</v>
      </c>
      <c r="G58" s="77">
        <v>0</v>
      </c>
      <c r="H58" s="78">
        <f t="shared" si="0"/>
        <v>0</v>
      </c>
      <c r="I58" s="78">
        <f t="shared" si="1"/>
        <v>0</v>
      </c>
      <c r="J58" s="77">
        <v>0</v>
      </c>
      <c r="K58" s="77">
        <v>0</v>
      </c>
      <c r="L58" s="78">
        <f t="shared" si="2"/>
        <v>0</v>
      </c>
      <c r="M58" s="174">
        <f t="shared" si="3"/>
        <v>0</v>
      </c>
      <c r="N58" s="339">
        <f t="shared" ca="1" si="4"/>
        <v>41284.323380902781</v>
      </c>
      <c r="O58" s="340" t="e">
        <f t="shared" si="5"/>
        <v>#VALUE!</v>
      </c>
      <c r="P58" s="340" t="e">
        <f t="shared" si="6"/>
        <v>#VALUE!</v>
      </c>
      <c r="Q58" s="340" t="e">
        <f t="shared" si="7"/>
        <v>#VALUE!</v>
      </c>
      <c r="R58" s="340">
        <f t="shared" ca="1" si="8"/>
        <v>2013</v>
      </c>
      <c r="S58" s="340">
        <f t="shared" ca="1" si="9"/>
        <v>1</v>
      </c>
      <c r="T58" s="340">
        <f t="shared" ca="1" si="10"/>
        <v>10</v>
      </c>
      <c r="U58" s="357" t="str">
        <f t="shared" si="11"/>
        <v>-</v>
      </c>
    </row>
    <row r="59" spans="1:21" x14ac:dyDescent="0.2">
      <c r="A59" s="77" t="s">
        <v>136</v>
      </c>
      <c r="B59" s="176" t="s">
        <v>136</v>
      </c>
      <c r="C59" s="177" t="s">
        <v>136</v>
      </c>
      <c r="D59" s="178">
        <v>0</v>
      </c>
      <c r="E59" s="178">
        <v>0</v>
      </c>
      <c r="F59" s="179">
        <v>0</v>
      </c>
      <c r="G59" s="77">
        <v>0</v>
      </c>
      <c r="H59" s="78">
        <f t="shared" si="0"/>
        <v>0</v>
      </c>
      <c r="I59" s="78">
        <f t="shared" si="1"/>
        <v>0</v>
      </c>
      <c r="J59" s="77">
        <v>0</v>
      </c>
      <c r="K59" s="77">
        <v>0</v>
      </c>
      <c r="L59" s="78">
        <f t="shared" si="2"/>
        <v>0</v>
      </c>
      <c r="M59" s="174">
        <f t="shared" si="3"/>
        <v>0</v>
      </c>
      <c r="N59" s="339">
        <f t="shared" ca="1" si="4"/>
        <v>41284.323380902781</v>
      </c>
      <c r="O59" s="340" t="e">
        <f t="shared" si="5"/>
        <v>#VALUE!</v>
      </c>
      <c r="P59" s="340" t="e">
        <f t="shared" si="6"/>
        <v>#VALUE!</v>
      </c>
      <c r="Q59" s="340" t="e">
        <f t="shared" si="7"/>
        <v>#VALUE!</v>
      </c>
      <c r="R59" s="340">
        <f t="shared" ca="1" si="8"/>
        <v>2013</v>
      </c>
      <c r="S59" s="340">
        <f t="shared" ca="1" si="9"/>
        <v>1</v>
      </c>
      <c r="T59" s="340">
        <f t="shared" ca="1" si="10"/>
        <v>10</v>
      </c>
      <c r="U59" s="357" t="str">
        <f t="shared" si="11"/>
        <v>-</v>
      </c>
    </row>
    <row r="60" spans="1:21" x14ac:dyDescent="0.2">
      <c r="A60" s="77" t="s">
        <v>136</v>
      </c>
      <c r="B60" s="176" t="s">
        <v>136</v>
      </c>
      <c r="C60" s="177" t="s">
        <v>136</v>
      </c>
      <c r="D60" s="178">
        <v>0</v>
      </c>
      <c r="E60" s="178">
        <v>0</v>
      </c>
      <c r="F60" s="179">
        <v>0</v>
      </c>
      <c r="G60" s="77">
        <v>0</v>
      </c>
      <c r="H60" s="78">
        <f t="shared" si="0"/>
        <v>0</v>
      </c>
      <c r="I60" s="78">
        <f t="shared" si="1"/>
        <v>0</v>
      </c>
      <c r="J60" s="77">
        <v>0</v>
      </c>
      <c r="K60" s="77">
        <v>0</v>
      </c>
      <c r="L60" s="78">
        <f t="shared" si="2"/>
        <v>0</v>
      </c>
      <c r="M60" s="174">
        <f t="shared" si="3"/>
        <v>0</v>
      </c>
      <c r="N60" s="339">
        <f t="shared" ca="1" si="4"/>
        <v>41284.323380902781</v>
      </c>
      <c r="O60" s="340" t="e">
        <f t="shared" si="5"/>
        <v>#VALUE!</v>
      </c>
      <c r="P60" s="340" t="e">
        <f t="shared" si="6"/>
        <v>#VALUE!</v>
      </c>
      <c r="Q60" s="340" t="e">
        <f t="shared" si="7"/>
        <v>#VALUE!</v>
      </c>
      <c r="R60" s="340">
        <f t="shared" ca="1" si="8"/>
        <v>2013</v>
      </c>
      <c r="S60" s="340">
        <f t="shared" ca="1" si="9"/>
        <v>1</v>
      </c>
      <c r="T60" s="340">
        <f t="shared" ca="1" si="10"/>
        <v>10</v>
      </c>
      <c r="U60" s="357" t="str">
        <f t="shared" si="11"/>
        <v>-</v>
      </c>
    </row>
    <row r="61" spans="1:21" x14ac:dyDescent="0.2">
      <c r="A61" s="77" t="s">
        <v>136</v>
      </c>
      <c r="B61" s="176" t="s">
        <v>136</v>
      </c>
      <c r="C61" s="177" t="s">
        <v>136</v>
      </c>
      <c r="D61" s="178">
        <v>0</v>
      </c>
      <c r="E61" s="178">
        <v>0</v>
      </c>
      <c r="F61" s="179">
        <v>0</v>
      </c>
      <c r="G61" s="77">
        <v>0</v>
      </c>
      <c r="H61" s="78">
        <f t="shared" si="0"/>
        <v>0</v>
      </c>
      <c r="I61" s="78">
        <f t="shared" si="1"/>
        <v>0</v>
      </c>
      <c r="J61" s="77">
        <v>0</v>
      </c>
      <c r="K61" s="77">
        <v>0</v>
      </c>
      <c r="L61" s="78">
        <f t="shared" si="2"/>
        <v>0</v>
      </c>
      <c r="M61" s="174">
        <f t="shared" si="3"/>
        <v>0</v>
      </c>
      <c r="N61" s="339">
        <f t="shared" ca="1" si="4"/>
        <v>41284.323380902781</v>
      </c>
      <c r="O61" s="340" t="e">
        <f t="shared" si="5"/>
        <v>#VALUE!</v>
      </c>
      <c r="P61" s="340" t="e">
        <f t="shared" si="6"/>
        <v>#VALUE!</v>
      </c>
      <c r="Q61" s="340" t="e">
        <f t="shared" si="7"/>
        <v>#VALUE!</v>
      </c>
      <c r="R61" s="340">
        <f t="shared" ca="1" si="8"/>
        <v>2013</v>
      </c>
      <c r="S61" s="340">
        <f t="shared" ca="1" si="9"/>
        <v>1</v>
      </c>
      <c r="T61" s="340">
        <f t="shared" ca="1" si="10"/>
        <v>10</v>
      </c>
      <c r="U61" s="357" t="str">
        <f t="shared" si="11"/>
        <v>-</v>
      </c>
    </row>
    <row r="62" spans="1:21" x14ac:dyDescent="0.2">
      <c r="A62" s="77" t="s">
        <v>136</v>
      </c>
      <c r="B62" s="176" t="s">
        <v>136</v>
      </c>
      <c r="C62" s="177" t="s">
        <v>136</v>
      </c>
      <c r="D62" s="178">
        <v>0</v>
      </c>
      <c r="E62" s="178">
        <v>0</v>
      </c>
      <c r="F62" s="179">
        <v>0</v>
      </c>
      <c r="G62" s="77">
        <v>0</v>
      </c>
      <c r="H62" s="78">
        <f t="shared" si="0"/>
        <v>0</v>
      </c>
      <c r="I62" s="78">
        <f t="shared" si="1"/>
        <v>0</v>
      </c>
      <c r="J62" s="77">
        <v>0</v>
      </c>
      <c r="K62" s="77">
        <v>0</v>
      </c>
      <c r="L62" s="78">
        <f t="shared" si="2"/>
        <v>0</v>
      </c>
      <c r="M62" s="174">
        <f t="shared" si="3"/>
        <v>0</v>
      </c>
      <c r="N62" s="339">
        <f t="shared" ca="1" si="4"/>
        <v>41284.323380902781</v>
      </c>
      <c r="O62" s="340" t="e">
        <f t="shared" si="5"/>
        <v>#VALUE!</v>
      </c>
      <c r="P62" s="340" t="e">
        <f t="shared" si="6"/>
        <v>#VALUE!</v>
      </c>
      <c r="Q62" s="340" t="e">
        <f t="shared" si="7"/>
        <v>#VALUE!</v>
      </c>
      <c r="R62" s="340">
        <f t="shared" ca="1" si="8"/>
        <v>2013</v>
      </c>
      <c r="S62" s="340">
        <f t="shared" ca="1" si="9"/>
        <v>1</v>
      </c>
      <c r="T62" s="340">
        <f t="shared" ca="1" si="10"/>
        <v>10</v>
      </c>
      <c r="U62" s="357" t="str">
        <f t="shared" si="11"/>
        <v>-</v>
      </c>
    </row>
    <row r="63" spans="1:21" x14ac:dyDescent="0.2">
      <c r="A63" s="77" t="s">
        <v>136</v>
      </c>
      <c r="B63" s="176" t="s">
        <v>136</v>
      </c>
      <c r="C63" s="177" t="s">
        <v>136</v>
      </c>
      <c r="D63" s="178">
        <v>0</v>
      </c>
      <c r="E63" s="178">
        <v>0</v>
      </c>
      <c r="F63" s="179">
        <v>0</v>
      </c>
      <c r="G63" s="77">
        <v>0</v>
      </c>
      <c r="H63" s="78">
        <f t="shared" si="0"/>
        <v>0</v>
      </c>
      <c r="I63" s="78">
        <f t="shared" si="1"/>
        <v>0</v>
      </c>
      <c r="J63" s="77">
        <v>0</v>
      </c>
      <c r="K63" s="77">
        <v>0</v>
      </c>
      <c r="L63" s="78">
        <f t="shared" si="2"/>
        <v>0</v>
      </c>
      <c r="M63" s="174">
        <f t="shared" si="3"/>
        <v>0</v>
      </c>
      <c r="N63" s="339">
        <f t="shared" ca="1" si="4"/>
        <v>41284.323380902781</v>
      </c>
      <c r="O63" s="340" t="e">
        <f t="shared" si="5"/>
        <v>#VALUE!</v>
      </c>
      <c r="P63" s="340" t="e">
        <f t="shared" si="6"/>
        <v>#VALUE!</v>
      </c>
      <c r="Q63" s="340" t="e">
        <f t="shared" si="7"/>
        <v>#VALUE!</v>
      </c>
      <c r="R63" s="340">
        <f t="shared" ca="1" si="8"/>
        <v>2013</v>
      </c>
      <c r="S63" s="340">
        <f t="shared" ca="1" si="9"/>
        <v>1</v>
      </c>
      <c r="T63" s="340">
        <f t="shared" ca="1" si="10"/>
        <v>10</v>
      </c>
      <c r="U63" s="357" t="str">
        <f t="shared" si="11"/>
        <v>-</v>
      </c>
    </row>
    <row r="64" spans="1:21" x14ac:dyDescent="0.2">
      <c r="A64" s="77" t="s">
        <v>136</v>
      </c>
      <c r="B64" s="176" t="s">
        <v>136</v>
      </c>
      <c r="C64" s="177" t="s">
        <v>136</v>
      </c>
      <c r="D64" s="178">
        <v>0</v>
      </c>
      <c r="E64" s="178">
        <v>0</v>
      </c>
      <c r="F64" s="179">
        <v>0</v>
      </c>
      <c r="G64" s="77">
        <v>0</v>
      </c>
      <c r="H64" s="78">
        <f t="shared" si="0"/>
        <v>0</v>
      </c>
      <c r="I64" s="78">
        <f t="shared" si="1"/>
        <v>0</v>
      </c>
      <c r="J64" s="77">
        <v>0</v>
      </c>
      <c r="K64" s="77">
        <v>0</v>
      </c>
      <c r="L64" s="78">
        <f t="shared" si="2"/>
        <v>0</v>
      </c>
      <c r="M64" s="174">
        <f t="shared" si="3"/>
        <v>0</v>
      </c>
      <c r="N64" s="339">
        <f t="shared" ca="1" si="4"/>
        <v>41284.323380902781</v>
      </c>
      <c r="O64" s="340" t="e">
        <f t="shared" si="5"/>
        <v>#VALUE!</v>
      </c>
      <c r="P64" s="340" t="e">
        <f t="shared" si="6"/>
        <v>#VALUE!</v>
      </c>
      <c r="Q64" s="340" t="e">
        <f t="shared" si="7"/>
        <v>#VALUE!</v>
      </c>
      <c r="R64" s="340">
        <f t="shared" ca="1" si="8"/>
        <v>2013</v>
      </c>
      <c r="S64" s="340">
        <f t="shared" ca="1" si="9"/>
        <v>1</v>
      </c>
      <c r="T64" s="340">
        <f t="shared" ca="1" si="10"/>
        <v>10</v>
      </c>
      <c r="U64" s="357" t="str">
        <f t="shared" si="11"/>
        <v>-</v>
      </c>
    </row>
    <row r="65" spans="1:21" x14ac:dyDescent="0.2">
      <c r="A65" s="77" t="s">
        <v>136</v>
      </c>
      <c r="B65" s="176" t="s">
        <v>136</v>
      </c>
      <c r="C65" s="177" t="s">
        <v>136</v>
      </c>
      <c r="D65" s="178">
        <v>0</v>
      </c>
      <c r="E65" s="178">
        <v>0</v>
      </c>
      <c r="F65" s="179">
        <v>0</v>
      </c>
      <c r="G65" s="77">
        <v>0</v>
      </c>
      <c r="H65" s="78">
        <f t="shared" si="0"/>
        <v>0</v>
      </c>
      <c r="I65" s="78">
        <f t="shared" si="1"/>
        <v>0</v>
      </c>
      <c r="J65" s="77">
        <v>0</v>
      </c>
      <c r="K65" s="77">
        <v>0</v>
      </c>
      <c r="L65" s="78">
        <f t="shared" si="2"/>
        <v>0</v>
      </c>
      <c r="M65" s="174">
        <f t="shared" si="3"/>
        <v>0</v>
      </c>
      <c r="N65" s="339">
        <f t="shared" ca="1" si="4"/>
        <v>41284.323380902781</v>
      </c>
      <c r="O65" s="340" t="e">
        <f t="shared" si="5"/>
        <v>#VALUE!</v>
      </c>
      <c r="P65" s="340" t="e">
        <f t="shared" si="6"/>
        <v>#VALUE!</v>
      </c>
      <c r="Q65" s="340" t="e">
        <f t="shared" si="7"/>
        <v>#VALUE!</v>
      </c>
      <c r="R65" s="340">
        <f t="shared" ca="1" si="8"/>
        <v>2013</v>
      </c>
      <c r="S65" s="340">
        <f t="shared" ca="1" si="9"/>
        <v>1</v>
      </c>
      <c r="T65" s="340">
        <f t="shared" ca="1" si="10"/>
        <v>10</v>
      </c>
      <c r="U65" s="357" t="str">
        <f t="shared" si="11"/>
        <v>-</v>
      </c>
    </row>
    <row r="66" spans="1:21" x14ac:dyDescent="0.2">
      <c r="A66" s="77" t="s">
        <v>136</v>
      </c>
      <c r="B66" s="176" t="s">
        <v>136</v>
      </c>
      <c r="C66" s="177" t="s">
        <v>136</v>
      </c>
      <c r="D66" s="178">
        <v>0</v>
      </c>
      <c r="E66" s="178">
        <v>0</v>
      </c>
      <c r="F66" s="179">
        <v>0</v>
      </c>
      <c r="G66" s="77">
        <v>0</v>
      </c>
      <c r="H66" s="78">
        <f t="shared" si="0"/>
        <v>0</v>
      </c>
      <c r="I66" s="78">
        <f t="shared" si="1"/>
        <v>0</v>
      </c>
      <c r="J66" s="77">
        <v>0</v>
      </c>
      <c r="K66" s="77">
        <v>0</v>
      </c>
      <c r="L66" s="78">
        <f t="shared" si="2"/>
        <v>0</v>
      </c>
      <c r="M66" s="174">
        <f t="shared" si="3"/>
        <v>0</v>
      </c>
      <c r="N66" s="339">
        <f t="shared" ca="1" si="4"/>
        <v>41284.323380902781</v>
      </c>
      <c r="O66" s="340" t="e">
        <f t="shared" si="5"/>
        <v>#VALUE!</v>
      </c>
      <c r="P66" s="340" t="e">
        <f t="shared" si="6"/>
        <v>#VALUE!</v>
      </c>
      <c r="Q66" s="340" t="e">
        <f t="shared" si="7"/>
        <v>#VALUE!</v>
      </c>
      <c r="R66" s="340">
        <f t="shared" ca="1" si="8"/>
        <v>2013</v>
      </c>
      <c r="S66" s="340">
        <f t="shared" ca="1" si="9"/>
        <v>1</v>
      </c>
      <c r="T66" s="340">
        <f t="shared" ca="1" si="10"/>
        <v>10</v>
      </c>
      <c r="U66" s="357" t="str">
        <f t="shared" si="11"/>
        <v>-</v>
      </c>
    </row>
    <row r="67" spans="1:21" x14ac:dyDescent="0.2">
      <c r="A67" s="77" t="s">
        <v>136</v>
      </c>
      <c r="B67" s="176" t="s">
        <v>136</v>
      </c>
      <c r="C67" s="177" t="s">
        <v>136</v>
      </c>
      <c r="D67" s="178">
        <v>0</v>
      </c>
      <c r="E67" s="178">
        <v>0</v>
      </c>
      <c r="F67" s="179">
        <v>0</v>
      </c>
      <c r="G67" s="77">
        <v>0</v>
      </c>
      <c r="H67" s="78">
        <f t="shared" si="0"/>
        <v>0</v>
      </c>
      <c r="I67" s="78">
        <f t="shared" si="1"/>
        <v>0</v>
      </c>
      <c r="J67" s="77">
        <v>0</v>
      </c>
      <c r="K67" s="77">
        <v>0</v>
      </c>
      <c r="L67" s="78">
        <f t="shared" si="2"/>
        <v>0</v>
      </c>
      <c r="M67" s="174">
        <f t="shared" si="3"/>
        <v>0</v>
      </c>
      <c r="N67" s="339">
        <f t="shared" ca="1" si="4"/>
        <v>41284.323380902781</v>
      </c>
      <c r="O67" s="340" t="e">
        <f t="shared" si="5"/>
        <v>#VALUE!</v>
      </c>
      <c r="P67" s="340" t="e">
        <f t="shared" si="6"/>
        <v>#VALUE!</v>
      </c>
      <c r="Q67" s="340" t="e">
        <f t="shared" si="7"/>
        <v>#VALUE!</v>
      </c>
      <c r="R67" s="340">
        <f t="shared" ca="1" si="8"/>
        <v>2013</v>
      </c>
      <c r="S67" s="340">
        <f t="shared" ca="1" si="9"/>
        <v>1</v>
      </c>
      <c r="T67" s="340">
        <f t="shared" ca="1" si="10"/>
        <v>10</v>
      </c>
      <c r="U67" s="357" t="str">
        <f t="shared" si="11"/>
        <v>-</v>
      </c>
    </row>
    <row r="68" spans="1:21" x14ac:dyDescent="0.2">
      <c r="A68" s="77" t="s">
        <v>136</v>
      </c>
      <c r="B68" s="176" t="s">
        <v>136</v>
      </c>
      <c r="C68" s="177" t="s">
        <v>136</v>
      </c>
      <c r="D68" s="178">
        <v>0</v>
      </c>
      <c r="E68" s="178">
        <v>0</v>
      </c>
      <c r="F68" s="179">
        <v>0</v>
      </c>
      <c r="G68" s="77">
        <v>0</v>
      </c>
      <c r="H68" s="78">
        <f t="shared" si="0"/>
        <v>0</v>
      </c>
      <c r="I68" s="78">
        <f t="shared" si="1"/>
        <v>0</v>
      </c>
      <c r="J68" s="77">
        <v>0</v>
      </c>
      <c r="K68" s="77">
        <v>0</v>
      </c>
      <c r="L68" s="78">
        <f t="shared" si="2"/>
        <v>0</v>
      </c>
      <c r="M68" s="174">
        <f t="shared" si="3"/>
        <v>0</v>
      </c>
      <c r="N68" s="339">
        <f t="shared" ca="1" si="4"/>
        <v>41284.323380902781</v>
      </c>
      <c r="O68" s="340" t="e">
        <f t="shared" si="5"/>
        <v>#VALUE!</v>
      </c>
      <c r="P68" s="340" t="e">
        <f t="shared" si="6"/>
        <v>#VALUE!</v>
      </c>
      <c r="Q68" s="340" t="e">
        <f t="shared" si="7"/>
        <v>#VALUE!</v>
      </c>
      <c r="R68" s="340">
        <f t="shared" ca="1" si="8"/>
        <v>2013</v>
      </c>
      <c r="S68" s="340">
        <f t="shared" ca="1" si="9"/>
        <v>1</v>
      </c>
      <c r="T68" s="340">
        <f t="shared" ca="1" si="10"/>
        <v>10</v>
      </c>
      <c r="U68" s="357" t="str">
        <f t="shared" si="11"/>
        <v>-</v>
      </c>
    </row>
    <row r="69" spans="1:21" x14ac:dyDescent="0.2">
      <c r="A69" s="77" t="s">
        <v>136</v>
      </c>
      <c r="B69" s="176" t="s">
        <v>136</v>
      </c>
      <c r="C69" s="177" t="s">
        <v>136</v>
      </c>
      <c r="D69" s="178">
        <v>0</v>
      </c>
      <c r="E69" s="178">
        <v>0</v>
      </c>
      <c r="F69" s="179">
        <v>0</v>
      </c>
      <c r="G69" s="77">
        <v>0</v>
      </c>
      <c r="H69" s="78">
        <f t="shared" si="0"/>
        <v>0</v>
      </c>
      <c r="I69" s="78">
        <f t="shared" si="1"/>
        <v>0</v>
      </c>
      <c r="J69" s="77">
        <v>0</v>
      </c>
      <c r="K69" s="77">
        <v>0</v>
      </c>
      <c r="L69" s="78">
        <f t="shared" si="2"/>
        <v>0</v>
      </c>
      <c r="M69" s="174">
        <f t="shared" si="3"/>
        <v>0</v>
      </c>
      <c r="N69" s="339">
        <f t="shared" ca="1" si="4"/>
        <v>41284.323380902781</v>
      </c>
      <c r="O69" s="340" t="e">
        <f t="shared" si="5"/>
        <v>#VALUE!</v>
      </c>
      <c r="P69" s="340" t="e">
        <f t="shared" si="6"/>
        <v>#VALUE!</v>
      </c>
      <c r="Q69" s="340" t="e">
        <f t="shared" si="7"/>
        <v>#VALUE!</v>
      </c>
      <c r="R69" s="340">
        <f t="shared" ca="1" si="8"/>
        <v>2013</v>
      </c>
      <c r="S69" s="340">
        <f t="shared" ca="1" si="9"/>
        <v>1</v>
      </c>
      <c r="T69" s="340">
        <f t="shared" ca="1" si="10"/>
        <v>10</v>
      </c>
      <c r="U69" s="357" t="str">
        <f t="shared" si="11"/>
        <v>-</v>
      </c>
    </row>
    <row r="70" spans="1:21" x14ac:dyDescent="0.2">
      <c r="A70" s="77" t="s">
        <v>136</v>
      </c>
      <c r="B70" s="176" t="s">
        <v>136</v>
      </c>
      <c r="C70" s="177" t="s">
        <v>136</v>
      </c>
      <c r="D70" s="178">
        <v>0</v>
      </c>
      <c r="E70" s="178">
        <v>0</v>
      </c>
      <c r="F70" s="179">
        <v>0</v>
      </c>
      <c r="G70" s="77">
        <v>0</v>
      </c>
      <c r="H70" s="78">
        <f t="shared" si="0"/>
        <v>0</v>
      </c>
      <c r="I70" s="78">
        <f t="shared" si="1"/>
        <v>0</v>
      </c>
      <c r="J70" s="77">
        <v>0</v>
      </c>
      <c r="K70" s="77">
        <v>0</v>
      </c>
      <c r="L70" s="78">
        <f t="shared" si="2"/>
        <v>0</v>
      </c>
      <c r="M70" s="174">
        <f t="shared" si="3"/>
        <v>0</v>
      </c>
      <c r="N70" s="339">
        <f t="shared" ca="1" si="4"/>
        <v>41284.323380902781</v>
      </c>
      <c r="O70" s="340" t="e">
        <f t="shared" si="5"/>
        <v>#VALUE!</v>
      </c>
      <c r="P70" s="340" t="e">
        <f t="shared" si="6"/>
        <v>#VALUE!</v>
      </c>
      <c r="Q70" s="340" t="e">
        <f t="shared" si="7"/>
        <v>#VALUE!</v>
      </c>
      <c r="R70" s="340">
        <f t="shared" ca="1" si="8"/>
        <v>2013</v>
      </c>
      <c r="S70" s="340">
        <f t="shared" ca="1" si="9"/>
        <v>1</v>
      </c>
      <c r="T70" s="340">
        <f t="shared" ca="1" si="10"/>
        <v>10</v>
      </c>
      <c r="U70" s="357" t="str">
        <f t="shared" si="11"/>
        <v>-</v>
      </c>
    </row>
    <row r="71" spans="1:21" x14ac:dyDescent="0.2">
      <c r="A71" s="77" t="s">
        <v>136</v>
      </c>
      <c r="B71" s="176" t="s">
        <v>136</v>
      </c>
      <c r="C71" s="177" t="s">
        <v>136</v>
      </c>
      <c r="D71" s="178">
        <v>0</v>
      </c>
      <c r="E71" s="178">
        <v>0</v>
      </c>
      <c r="F71" s="179">
        <v>0</v>
      </c>
      <c r="G71" s="77">
        <v>0</v>
      </c>
      <c r="H71" s="78">
        <f t="shared" si="0"/>
        <v>0</v>
      </c>
      <c r="I71" s="78">
        <f t="shared" si="1"/>
        <v>0</v>
      </c>
      <c r="J71" s="77">
        <v>0</v>
      </c>
      <c r="K71" s="77">
        <v>0</v>
      </c>
      <c r="L71" s="78">
        <f t="shared" si="2"/>
        <v>0</v>
      </c>
      <c r="M71" s="174">
        <f t="shared" si="3"/>
        <v>0</v>
      </c>
      <c r="N71" s="339">
        <f t="shared" ca="1" si="4"/>
        <v>41284.323380902781</v>
      </c>
      <c r="O71" s="340" t="e">
        <f t="shared" si="5"/>
        <v>#VALUE!</v>
      </c>
      <c r="P71" s="340" t="e">
        <f t="shared" si="6"/>
        <v>#VALUE!</v>
      </c>
      <c r="Q71" s="340" t="e">
        <f t="shared" si="7"/>
        <v>#VALUE!</v>
      </c>
      <c r="R71" s="340">
        <f t="shared" ca="1" si="8"/>
        <v>2013</v>
      </c>
      <c r="S71" s="340">
        <f t="shared" ca="1" si="9"/>
        <v>1</v>
      </c>
      <c r="T71" s="340">
        <f t="shared" ca="1" si="10"/>
        <v>10</v>
      </c>
      <c r="U71" s="357" t="str">
        <f t="shared" si="11"/>
        <v>-</v>
      </c>
    </row>
    <row r="72" spans="1:21" x14ac:dyDescent="0.2">
      <c r="A72" s="77" t="s">
        <v>136</v>
      </c>
      <c r="B72" s="176" t="s">
        <v>136</v>
      </c>
      <c r="C72" s="177" t="s">
        <v>136</v>
      </c>
      <c r="D72" s="178">
        <v>0</v>
      </c>
      <c r="E72" s="178">
        <v>0</v>
      </c>
      <c r="F72" s="179">
        <v>0</v>
      </c>
      <c r="G72" s="77">
        <v>0</v>
      </c>
      <c r="H72" s="78">
        <f>ROUND((G72*E72)/365,2)</f>
        <v>0</v>
      </c>
      <c r="I72" s="78">
        <f>ROUND(((G72*D72)*F72)/365,2)</f>
        <v>0</v>
      </c>
      <c r="J72" s="77">
        <v>0</v>
      </c>
      <c r="K72" s="77">
        <v>0</v>
      </c>
      <c r="L72" s="78">
        <f>SUM(G72:K72)</f>
        <v>0</v>
      </c>
      <c r="M72" s="174">
        <f t="shared" si="3"/>
        <v>0</v>
      </c>
      <c r="N72" s="339">
        <f t="shared" ca="1" si="4"/>
        <v>41284.323380902781</v>
      </c>
      <c r="O72" s="340" t="e">
        <f t="shared" si="5"/>
        <v>#VALUE!</v>
      </c>
      <c r="P72" s="340" t="e">
        <f t="shared" si="6"/>
        <v>#VALUE!</v>
      </c>
      <c r="Q72" s="340" t="e">
        <f t="shared" si="7"/>
        <v>#VALUE!</v>
      </c>
      <c r="R72" s="340">
        <f t="shared" ca="1" si="8"/>
        <v>2013</v>
      </c>
      <c r="S72" s="340">
        <f t="shared" ca="1" si="9"/>
        <v>1</v>
      </c>
      <c r="T72" s="340">
        <f t="shared" ca="1" si="10"/>
        <v>10</v>
      </c>
      <c r="U72" s="357" t="str">
        <f t="shared" si="11"/>
        <v>-</v>
      </c>
    </row>
    <row r="73" spans="1:21" x14ac:dyDescent="0.2">
      <c r="A73" s="77" t="s">
        <v>136</v>
      </c>
      <c r="B73" s="176" t="s">
        <v>136</v>
      </c>
      <c r="C73" s="177" t="s">
        <v>136</v>
      </c>
      <c r="D73" s="178">
        <v>0</v>
      </c>
      <c r="E73" s="178">
        <v>0</v>
      </c>
      <c r="F73" s="179">
        <v>0</v>
      </c>
      <c r="G73" s="77">
        <v>0</v>
      </c>
      <c r="H73" s="78">
        <f>ROUND((G73*E73)/365,2)</f>
        <v>0</v>
      </c>
      <c r="I73" s="78">
        <f>ROUND(((G73*D73)*F73)/365,2)</f>
        <v>0</v>
      </c>
      <c r="J73" s="77">
        <v>0</v>
      </c>
      <c r="K73" s="77">
        <v>0</v>
      </c>
      <c r="L73" s="78">
        <f>SUM(G73:K73)</f>
        <v>0</v>
      </c>
      <c r="M73" s="174">
        <f>IF(G73=0,0,ROUND(L73/G73,4))</f>
        <v>0</v>
      </c>
      <c r="N73" s="339">
        <f t="shared" ref="N73:N136" ca="1" si="12">NOW()</f>
        <v>41284.323380902781</v>
      </c>
      <c r="O73" s="340" t="e">
        <f t="shared" ref="O73:O136" si="13">YEAR(C73)</f>
        <v>#VALUE!</v>
      </c>
      <c r="P73" s="340" t="e">
        <f t="shared" ref="P73:P136" si="14">DAY(C73)</f>
        <v>#VALUE!</v>
      </c>
      <c r="Q73" s="340" t="e">
        <f t="shared" ref="Q73:Q136" si="15">MONTH(C73)</f>
        <v>#VALUE!</v>
      </c>
      <c r="R73" s="340">
        <f t="shared" ref="R73:R136" ca="1" si="16">YEAR(N73)</f>
        <v>2013</v>
      </c>
      <c r="S73" s="340">
        <f t="shared" ref="S73:S136" ca="1" si="17">MONTH(N73)</f>
        <v>1</v>
      </c>
      <c r="T73" s="340">
        <f t="shared" ref="T73:T136" ca="1" si="18">DAY(N73)</f>
        <v>10</v>
      </c>
      <c r="U73" s="357" t="str">
        <f t="shared" ref="U73:U136" si="19">IF(C73="-","-",RIGHT("00"&amp;P73,2)&amp;"/"&amp;RIGHT("00"&amp;Q73,2)&amp;"/"&amp;R73)</f>
        <v>-</v>
      </c>
    </row>
    <row r="74" spans="1:21" x14ac:dyDescent="0.2">
      <c r="A74" s="77" t="s">
        <v>136</v>
      </c>
      <c r="B74" s="176" t="s">
        <v>136</v>
      </c>
      <c r="C74" s="177" t="s">
        <v>136</v>
      </c>
      <c r="D74" s="178">
        <v>0</v>
      </c>
      <c r="E74" s="178">
        <v>0</v>
      </c>
      <c r="F74" s="179">
        <v>0</v>
      </c>
      <c r="G74" s="77">
        <v>0</v>
      </c>
      <c r="H74" s="78">
        <f>ROUND((G74*E74)/365,2)</f>
        <v>0</v>
      </c>
      <c r="I74" s="78">
        <f>ROUND(((G74*D74)*F74)/365,2)</f>
        <v>0</v>
      </c>
      <c r="J74" s="77">
        <v>0</v>
      </c>
      <c r="K74" s="77">
        <v>0</v>
      </c>
      <c r="L74" s="78">
        <f>SUM(G74:K74)</f>
        <v>0</v>
      </c>
      <c r="M74" s="174">
        <f>IF(G74=0,0,ROUND(L74/G74,4))</f>
        <v>0</v>
      </c>
      <c r="N74" s="339">
        <f t="shared" ca="1" si="12"/>
        <v>41284.323380902781</v>
      </c>
      <c r="O74" s="340" t="e">
        <f t="shared" si="13"/>
        <v>#VALUE!</v>
      </c>
      <c r="P74" s="340" t="e">
        <f t="shared" si="14"/>
        <v>#VALUE!</v>
      </c>
      <c r="Q74" s="340" t="e">
        <f t="shared" si="15"/>
        <v>#VALUE!</v>
      </c>
      <c r="R74" s="340">
        <f t="shared" ca="1" si="16"/>
        <v>2013</v>
      </c>
      <c r="S74" s="340">
        <f t="shared" ca="1" si="17"/>
        <v>1</v>
      </c>
      <c r="T74" s="340">
        <f t="shared" ca="1" si="18"/>
        <v>10</v>
      </c>
      <c r="U74" s="357" t="str">
        <f t="shared" si="19"/>
        <v>-</v>
      </c>
    </row>
    <row r="75" spans="1:21" x14ac:dyDescent="0.2">
      <c r="A75" s="77" t="s">
        <v>136</v>
      </c>
      <c r="B75" s="176" t="s">
        <v>136</v>
      </c>
      <c r="C75" s="177" t="s">
        <v>136</v>
      </c>
      <c r="D75" s="178">
        <v>0</v>
      </c>
      <c r="E75" s="178">
        <v>0</v>
      </c>
      <c r="F75" s="179">
        <v>0</v>
      </c>
      <c r="G75" s="77">
        <v>0</v>
      </c>
      <c r="H75" s="78">
        <f>ROUND((G75*E75)/365,2)</f>
        <v>0</v>
      </c>
      <c r="I75" s="78">
        <f>ROUND(((G75*D75)*F75)/365,2)</f>
        <v>0</v>
      </c>
      <c r="J75" s="77">
        <v>0</v>
      </c>
      <c r="K75" s="77">
        <v>0</v>
      </c>
      <c r="L75" s="78">
        <f>SUM(G75:K75)</f>
        <v>0</v>
      </c>
      <c r="M75" s="174">
        <f>IF(G75=0,0,ROUND(L75/G75,4))</f>
        <v>0</v>
      </c>
      <c r="N75" s="339">
        <f t="shared" ca="1" si="12"/>
        <v>41284.323380902781</v>
      </c>
      <c r="O75" s="340" t="e">
        <f t="shared" si="13"/>
        <v>#VALUE!</v>
      </c>
      <c r="P75" s="340" t="e">
        <f t="shared" si="14"/>
        <v>#VALUE!</v>
      </c>
      <c r="Q75" s="340" t="e">
        <f t="shared" si="15"/>
        <v>#VALUE!</v>
      </c>
      <c r="R75" s="340">
        <f t="shared" ca="1" si="16"/>
        <v>2013</v>
      </c>
      <c r="S75" s="340">
        <f t="shared" ca="1" si="17"/>
        <v>1</v>
      </c>
      <c r="T75" s="340">
        <f t="shared" ca="1" si="18"/>
        <v>10</v>
      </c>
      <c r="U75" s="357" t="str">
        <f t="shared" si="19"/>
        <v>-</v>
      </c>
    </row>
    <row r="76" spans="1:21" x14ac:dyDescent="0.2">
      <c r="A76" s="77" t="s">
        <v>136</v>
      </c>
      <c r="B76" s="176" t="s">
        <v>136</v>
      </c>
      <c r="C76" s="177" t="s">
        <v>136</v>
      </c>
      <c r="D76" s="178">
        <v>0</v>
      </c>
      <c r="E76" s="178">
        <v>0</v>
      </c>
      <c r="F76" s="179">
        <v>0</v>
      </c>
      <c r="G76" s="77">
        <v>0</v>
      </c>
      <c r="H76" s="78">
        <f>ROUND((G76*E76)/365,2)</f>
        <v>0</v>
      </c>
      <c r="I76" s="78">
        <f>ROUND(((G76*D76)*F76)/365,2)</f>
        <v>0</v>
      </c>
      <c r="J76" s="77">
        <v>0</v>
      </c>
      <c r="K76" s="77">
        <v>0</v>
      </c>
      <c r="L76" s="78">
        <f>SUM(G76:K76)</f>
        <v>0</v>
      </c>
      <c r="M76" s="174">
        <f>IF(G76=0,0,ROUND(L76/G76,4))</f>
        <v>0</v>
      </c>
      <c r="N76" s="339">
        <f t="shared" ca="1" si="12"/>
        <v>41284.323380902781</v>
      </c>
      <c r="O76" s="340" t="e">
        <f t="shared" si="13"/>
        <v>#VALUE!</v>
      </c>
      <c r="P76" s="340" t="e">
        <f t="shared" si="14"/>
        <v>#VALUE!</v>
      </c>
      <c r="Q76" s="340" t="e">
        <f t="shared" si="15"/>
        <v>#VALUE!</v>
      </c>
      <c r="R76" s="340">
        <f t="shared" ca="1" si="16"/>
        <v>2013</v>
      </c>
      <c r="S76" s="340">
        <f t="shared" ca="1" si="17"/>
        <v>1</v>
      </c>
      <c r="T76" s="340">
        <f t="shared" ca="1" si="18"/>
        <v>10</v>
      </c>
      <c r="U76" s="357" t="str">
        <f t="shared" si="19"/>
        <v>-</v>
      </c>
    </row>
    <row r="77" spans="1:21" x14ac:dyDescent="0.2">
      <c r="A77" s="77" t="s">
        <v>136</v>
      </c>
      <c r="B77" s="176" t="s">
        <v>136</v>
      </c>
      <c r="C77" s="177" t="s">
        <v>136</v>
      </c>
      <c r="D77" s="178">
        <v>0</v>
      </c>
      <c r="E77" s="178">
        <v>0</v>
      </c>
      <c r="F77" s="179">
        <v>0</v>
      </c>
      <c r="G77" s="77">
        <v>0</v>
      </c>
      <c r="H77" s="78">
        <f t="shared" ref="H77:H140" si="20">ROUND((G77*E77)/365,2)</f>
        <v>0</v>
      </c>
      <c r="I77" s="78">
        <f t="shared" ref="I77:I140" si="21">ROUND(((G77*D77)*F77)/365,2)</f>
        <v>0</v>
      </c>
      <c r="J77" s="77">
        <v>0</v>
      </c>
      <c r="K77" s="77">
        <v>0</v>
      </c>
      <c r="L77" s="78">
        <f t="shared" ref="L77:L140" si="22">SUM(G77:K77)</f>
        <v>0</v>
      </c>
      <c r="M77" s="174">
        <f t="shared" ref="M77:M140" si="23">IF(G77=0,0,ROUND(L77/G77,4))</f>
        <v>0</v>
      </c>
      <c r="N77" s="339">
        <f t="shared" ca="1" si="12"/>
        <v>41284.323380902781</v>
      </c>
      <c r="O77" s="340" t="e">
        <f t="shared" si="13"/>
        <v>#VALUE!</v>
      </c>
      <c r="P77" s="340" t="e">
        <f t="shared" si="14"/>
        <v>#VALUE!</v>
      </c>
      <c r="Q77" s="340" t="e">
        <f t="shared" si="15"/>
        <v>#VALUE!</v>
      </c>
      <c r="R77" s="340">
        <f t="shared" ca="1" si="16"/>
        <v>2013</v>
      </c>
      <c r="S77" s="340">
        <f t="shared" ca="1" si="17"/>
        <v>1</v>
      </c>
      <c r="T77" s="340">
        <f t="shared" ca="1" si="18"/>
        <v>10</v>
      </c>
      <c r="U77" s="357" t="str">
        <f t="shared" si="19"/>
        <v>-</v>
      </c>
    </row>
    <row r="78" spans="1:21" x14ac:dyDescent="0.2">
      <c r="A78" s="77" t="s">
        <v>136</v>
      </c>
      <c r="B78" s="176" t="s">
        <v>136</v>
      </c>
      <c r="C78" s="177" t="s">
        <v>136</v>
      </c>
      <c r="D78" s="178">
        <v>0</v>
      </c>
      <c r="E78" s="178">
        <v>0</v>
      </c>
      <c r="F78" s="179">
        <v>0</v>
      </c>
      <c r="G78" s="77">
        <v>0</v>
      </c>
      <c r="H78" s="78">
        <f t="shared" si="20"/>
        <v>0</v>
      </c>
      <c r="I78" s="78">
        <f t="shared" si="21"/>
        <v>0</v>
      </c>
      <c r="J78" s="77">
        <v>0</v>
      </c>
      <c r="K78" s="77">
        <v>0</v>
      </c>
      <c r="L78" s="78">
        <f t="shared" si="22"/>
        <v>0</v>
      </c>
      <c r="M78" s="174">
        <f t="shared" si="23"/>
        <v>0</v>
      </c>
      <c r="N78" s="339">
        <f t="shared" ca="1" si="12"/>
        <v>41284.323380902781</v>
      </c>
      <c r="O78" s="340" t="e">
        <f t="shared" si="13"/>
        <v>#VALUE!</v>
      </c>
      <c r="P78" s="340" t="e">
        <f t="shared" si="14"/>
        <v>#VALUE!</v>
      </c>
      <c r="Q78" s="340" t="e">
        <f t="shared" si="15"/>
        <v>#VALUE!</v>
      </c>
      <c r="R78" s="340">
        <f t="shared" ca="1" si="16"/>
        <v>2013</v>
      </c>
      <c r="S78" s="340">
        <f t="shared" ca="1" si="17"/>
        <v>1</v>
      </c>
      <c r="T78" s="340">
        <f t="shared" ca="1" si="18"/>
        <v>10</v>
      </c>
      <c r="U78" s="357" t="str">
        <f t="shared" si="19"/>
        <v>-</v>
      </c>
    </row>
    <row r="79" spans="1:21" x14ac:dyDescent="0.2">
      <c r="A79" s="77" t="s">
        <v>136</v>
      </c>
      <c r="B79" s="176" t="s">
        <v>136</v>
      </c>
      <c r="C79" s="177" t="s">
        <v>136</v>
      </c>
      <c r="D79" s="178">
        <v>0</v>
      </c>
      <c r="E79" s="178">
        <v>0</v>
      </c>
      <c r="F79" s="179">
        <v>0</v>
      </c>
      <c r="G79" s="77">
        <v>0</v>
      </c>
      <c r="H79" s="78">
        <f t="shared" si="20"/>
        <v>0</v>
      </c>
      <c r="I79" s="78">
        <f t="shared" si="21"/>
        <v>0</v>
      </c>
      <c r="J79" s="77">
        <v>0</v>
      </c>
      <c r="K79" s="77">
        <v>0</v>
      </c>
      <c r="L79" s="78">
        <f t="shared" si="22"/>
        <v>0</v>
      </c>
      <c r="M79" s="174">
        <f t="shared" si="23"/>
        <v>0</v>
      </c>
      <c r="N79" s="339">
        <f t="shared" ca="1" si="12"/>
        <v>41284.323380902781</v>
      </c>
      <c r="O79" s="340" t="e">
        <f t="shared" si="13"/>
        <v>#VALUE!</v>
      </c>
      <c r="P79" s="340" t="e">
        <f t="shared" si="14"/>
        <v>#VALUE!</v>
      </c>
      <c r="Q79" s="340" t="e">
        <f t="shared" si="15"/>
        <v>#VALUE!</v>
      </c>
      <c r="R79" s="340">
        <f t="shared" ca="1" si="16"/>
        <v>2013</v>
      </c>
      <c r="S79" s="340">
        <f t="shared" ca="1" si="17"/>
        <v>1</v>
      </c>
      <c r="T79" s="340">
        <f t="shared" ca="1" si="18"/>
        <v>10</v>
      </c>
      <c r="U79" s="357" t="str">
        <f t="shared" si="19"/>
        <v>-</v>
      </c>
    </row>
    <row r="80" spans="1:21" x14ac:dyDescent="0.2">
      <c r="A80" s="77" t="s">
        <v>136</v>
      </c>
      <c r="B80" s="176" t="s">
        <v>136</v>
      </c>
      <c r="C80" s="177" t="s">
        <v>136</v>
      </c>
      <c r="D80" s="178">
        <v>0</v>
      </c>
      <c r="E80" s="178">
        <v>0</v>
      </c>
      <c r="F80" s="179">
        <v>0</v>
      </c>
      <c r="G80" s="77">
        <v>0</v>
      </c>
      <c r="H80" s="78">
        <f t="shared" si="20"/>
        <v>0</v>
      </c>
      <c r="I80" s="78">
        <f t="shared" si="21"/>
        <v>0</v>
      </c>
      <c r="J80" s="77">
        <v>0</v>
      </c>
      <c r="K80" s="77">
        <v>0</v>
      </c>
      <c r="L80" s="78">
        <f t="shared" si="22"/>
        <v>0</v>
      </c>
      <c r="M80" s="174">
        <f t="shared" si="23"/>
        <v>0</v>
      </c>
      <c r="N80" s="339">
        <f t="shared" ca="1" si="12"/>
        <v>41284.323380902781</v>
      </c>
      <c r="O80" s="340" t="e">
        <f t="shared" si="13"/>
        <v>#VALUE!</v>
      </c>
      <c r="P80" s="340" t="e">
        <f t="shared" si="14"/>
        <v>#VALUE!</v>
      </c>
      <c r="Q80" s="340" t="e">
        <f t="shared" si="15"/>
        <v>#VALUE!</v>
      </c>
      <c r="R80" s="340">
        <f t="shared" ca="1" si="16"/>
        <v>2013</v>
      </c>
      <c r="S80" s="340">
        <f t="shared" ca="1" si="17"/>
        <v>1</v>
      </c>
      <c r="T80" s="340">
        <f t="shared" ca="1" si="18"/>
        <v>10</v>
      </c>
      <c r="U80" s="357" t="str">
        <f t="shared" si="19"/>
        <v>-</v>
      </c>
    </row>
    <row r="81" spans="1:21" x14ac:dyDescent="0.2">
      <c r="A81" s="77" t="s">
        <v>136</v>
      </c>
      <c r="B81" s="176" t="s">
        <v>136</v>
      </c>
      <c r="C81" s="177" t="s">
        <v>136</v>
      </c>
      <c r="D81" s="178">
        <v>0</v>
      </c>
      <c r="E81" s="178">
        <v>0</v>
      </c>
      <c r="F81" s="179">
        <v>0</v>
      </c>
      <c r="G81" s="77">
        <v>0</v>
      </c>
      <c r="H81" s="78">
        <f t="shared" si="20"/>
        <v>0</v>
      </c>
      <c r="I81" s="78">
        <f t="shared" si="21"/>
        <v>0</v>
      </c>
      <c r="J81" s="77">
        <v>0</v>
      </c>
      <c r="K81" s="77">
        <v>0</v>
      </c>
      <c r="L81" s="78">
        <f t="shared" si="22"/>
        <v>0</v>
      </c>
      <c r="M81" s="174">
        <f t="shared" si="23"/>
        <v>0</v>
      </c>
      <c r="N81" s="339">
        <f t="shared" ca="1" si="12"/>
        <v>41284.323380902781</v>
      </c>
      <c r="O81" s="340" t="e">
        <f t="shared" si="13"/>
        <v>#VALUE!</v>
      </c>
      <c r="P81" s="340" t="e">
        <f t="shared" si="14"/>
        <v>#VALUE!</v>
      </c>
      <c r="Q81" s="340" t="e">
        <f t="shared" si="15"/>
        <v>#VALUE!</v>
      </c>
      <c r="R81" s="340">
        <f t="shared" ca="1" si="16"/>
        <v>2013</v>
      </c>
      <c r="S81" s="340">
        <f t="shared" ca="1" si="17"/>
        <v>1</v>
      </c>
      <c r="T81" s="340">
        <f t="shared" ca="1" si="18"/>
        <v>10</v>
      </c>
      <c r="U81" s="357" t="str">
        <f t="shared" si="19"/>
        <v>-</v>
      </c>
    </row>
    <row r="82" spans="1:21" x14ac:dyDescent="0.2">
      <c r="A82" s="77" t="s">
        <v>136</v>
      </c>
      <c r="B82" s="176" t="s">
        <v>136</v>
      </c>
      <c r="C82" s="177" t="s">
        <v>136</v>
      </c>
      <c r="D82" s="178">
        <v>0</v>
      </c>
      <c r="E82" s="178">
        <v>0</v>
      </c>
      <c r="F82" s="179">
        <v>0</v>
      </c>
      <c r="G82" s="77">
        <v>0</v>
      </c>
      <c r="H82" s="78">
        <f t="shared" si="20"/>
        <v>0</v>
      </c>
      <c r="I82" s="78">
        <f t="shared" si="21"/>
        <v>0</v>
      </c>
      <c r="J82" s="77">
        <v>0</v>
      </c>
      <c r="K82" s="77">
        <v>0</v>
      </c>
      <c r="L82" s="78">
        <f t="shared" si="22"/>
        <v>0</v>
      </c>
      <c r="M82" s="174">
        <f t="shared" si="23"/>
        <v>0</v>
      </c>
      <c r="N82" s="339">
        <f t="shared" ca="1" si="12"/>
        <v>41284.323380902781</v>
      </c>
      <c r="O82" s="340" t="e">
        <f t="shared" si="13"/>
        <v>#VALUE!</v>
      </c>
      <c r="P82" s="340" t="e">
        <f t="shared" si="14"/>
        <v>#VALUE!</v>
      </c>
      <c r="Q82" s="340" t="e">
        <f t="shared" si="15"/>
        <v>#VALUE!</v>
      </c>
      <c r="R82" s="340">
        <f t="shared" ca="1" si="16"/>
        <v>2013</v>
      </c>
      <c r="S82" s="340">
        <f t="shared" ca="1" si="17"/>
        <v>1</v>
      </c>
      <c r="T82" s="340">
        <f t="shared" ca="1" si="18"/>
        <v>10</v>
      </c>
      <c r="U82" s="357" t="str">
        <f t="shared" si="19"/>
        <v>-</v>
      </c>
    </row>
    <row r="83" spans="1:21" x14ac:dyDescent="0.2">
      <c r="A83" s="77" t="s">
        <v>136</v>
      </c>
      <c r="B83" s="176" t="s">
        <v>136</v>
      </c>
      <c r="C83" s="177" t="s">
        <v>136</v>
      </c>
      <c r="D83" s="178">
        <v>0</v>
      </c>
      <c r="E83" s="178">
        <v>0</v>
      </c>
      <c r="F83" s="179">
        <v>0</v>
      </c>
      <c r="G83" s="77">
        <v>0</v>
      </c>
      <c r="H83" s="78">
        <f t="shared" si="20"/>
        <v>0</v>
      </c>
      <c r="I83" s="78">
        <f t="shared" si="21"/>
        <v>0</v>
      </c>
      <c r="J83" s="77">
        <v>0</v>
      </c>
      <c r="K83" s="77">
        <v>0</v>
      </c>
      <c r="L83" s="78">
        <f t="shared" si="22"/>
        <v>0</v>
      </c>
      <c r="M83" s="174">
        <f t="shared" si="23"/>
        <v>0</v>
      </c>
      <c r="N83" s="339">
        <f t="shared" ca="1" si="12"/>
        <v>41284.323380902781</v>
      </c>
      <c r="O83" s="340" t="e">
        <f t="shared" si="13"/>
        <v>#VALUE!</v>
      </c>
      <c r="P83" s="340" t="e">
        <f t="shared" si="14"/>
        <v>#VALUE!</v>
      </c>
      <c r="Q83" s="340" t="e">
        <f t="shared" si="15"/>
        <v>#VALUE!</v>
      </c>
      <c r="R83" s="340">
        <f t="shared" ca="1" si="16"/>
        <v>2013</v>
      </c>
      <c r="S83" s="340">
        <f t="shared" ca="1" si="17"/>
        <v>1</v>
      </c>
      <c r="T83" s="340">
        <f t="shared" ca="1" si="18"/>
        <v>10</v>
      </c>
      <c r="U83" s="357" t="str">
        <f t="shared" si="19"/>
        <v>-</v>
      </c>
    </row>
    <row r="84" spans="1:21" x14ac:dyDescent="0.2">
      <c r="A84" s="77" t="s">
        <v>136</v>
      </c>
      <c r="B84" s="176" t="s">
        <v>136</v>
      </c>
      <c r="C84" s="177" t="s">
        <v>136</v>
      </c>
      <c r="D84" s="178">
        <v>0</v>
      </c>
      <c r="E84" s="178">
        <v>0</v>
      </c>
      <c r="F84" s="179">
        <v>0</v>
      </c>
      <c r="G84" s="77">
        <v>0</v>
      </c>
      <c r="H84" s="78">
        <f t="shared" si="20"/>
        <v>0</v>
      </c>
      <c r="I84" s="78">
        <f t="shared" si="21"/>
        <v>0</v>
      </c>
      <c r="J84" s="77">
        <v>0</v>
      </c>
      <c r="K84" s="77">
        <v>0</v>
      </c>
      <c r="L84" s="78">
        <f t="shared" si="22"/>
        <v>0</v>
      </c>
      <c r="M84" s="174">
        <f t="shared" si="23"/>
        <v>0</v>
      </c>
      <c r="N84" s="339">
        <f t="shared" ca="1" si="12"/>
        <v>41284.323380902781</v>
      </c>
      <c r="O84" s="340" t="e">
        <f t="shared" si="13"/>
        <v>#VALUE!</v>
      </c>
      <c r="P84" s="340" t="e">
        <f t="shared" si="14"/>
        <v>#VALUE!</v>
      </c>
      <c r="Q84" s="340" t="e">
        <f t="shared" si="15"/>
        <v>#VALUE!</v>
      </c>
      <c r="R84" s="340">
        <f t="shared" ca="1" si="16"/>
        <v>2013</v>
      </c>
      <c r="S84" s="340">
        <f t="shared" ca="1" si="17"/>
        <v>1</v>
      </c>
      <c r="T84" s="340">
        <f t="shared" ca="1" si="18"/>
        <v>10</v>
      </c>
      <c r="U84" s="357" t="str">
        <f t="shared" si="19"/>
        <v>-</v>
      </c>
    </row>
    <row r="85" spans="1:21" x14ac:dyDescent="0.2">
      <c r="A85" s="77" t="s">
        <v>136</v>
      </c>
      <c r="B85" s="176" t="s">
        <v>136</v>
      </c>
      <c r="C85" s="177" t="s">
        <v>136</v>
      </c>
      <c r="D85" s="178">
        <v>0</v>
      </c>
      <c r="E85" s="178">
        <v>0</v>
      </c>
      <c r="F85" s="179">
        <v>0</v>
      </c>
      <c r="G85" s="77">
        <v>0</v>
      </c>
      <c r="H85" s="78">
        <f t="shared" si="20"/>
        <v>0</v>
      </c>
      <c r="I85" s="78">
        <f t="shared" si="21"/>
        <v>0</v>
      </c>
      <c r="J85" s="77">
        <v>0</v>
      </c>
      <c r="K85" s="77">
        <v>0</v>
      </c>
      <c r="L85" s="78">
        <f t="shared" si="22"/>
        <v>0</v>
      </c>
      <c r="M85" s="174">
        <f t="shared" si="23"/>
        <v>0</v>
      </c>
      <c r="N85" s="339">
        <f t="shared" ca="1" si="12"/>
        <v>41284.323380902781</v>
      </c>
      <c r="O85" s="340" t="e">
        <f t="shared" si="13"/>
        <v>#VALUE!</v>
      </c>
      <c r="P85" s="340" t="e">
        <f t="shared" si="14"/>
        <v>#VALUE!</v>
      </c>
      <c r="Q85" s="340" t="e">
        <f t="shared" si="15"/>
        <v>#VALUE!</v>
      </c>
      <c r="R85" s="340">
        <f t="shared" ca="1" si="16"/>
        <v>2013</v>
      </c>
      <c r="S85" s="340">
        <f t="shared" ca="1" si="17"/>
        <v>1</v>
      </c>
      <c r="T85" s="340">
        <f t="shared" ca="1" si="18"/>
        <v>10</v>
      </c>
      <c r="U85" s="357" t="str">
        <f t="shared" si="19"/>
        <v>-</v>
      </c>
    </row>
    <row r="86" spans="1:21" x14ac:dyDescent="0.2">
      <c r="A86" s="77" t="s">
        <v>136</v>
      </c>
      <c r="B86" s="176" t="s">
        <v>136</v>
      </c>
      <c r="C86" s="177" t="s">
        <v>136</v>
      </c>
      <c r="D86" s="178">
        <v>0</v>
      </c>
      <c r="E86" s="178">
        <v>0</v>
      </c>
      <c r="F86" s="179">
        <v>0</v>
      </c>
      <c r="G86" s="77">
        <v>0</v>
      </c>
      <c r="H86" s="78">
        <f t="shared" si="20"/>
        <v>0</v>
      </c>
      <c r="I86" s="78">
        <f t="shared" si="21"/>
        <v>0</v>
      </c>
      <c r="J86" s="77">
        <v>0</v>
      </c>
      <c r="K86" s="77">
        <v>0</v>
      </c>
      <c r="L86" s="78">
        <f t="shared" si="22"/>
        <v>0</v>
      </c>
      <c r="M86" s="174">
        <f t="shared" si="23"/>
        <v>0</v>
      </c>
      <c r="N86" s="339">
        <f t="shared" ca="1" si="12"/>
        <v>41284.323380902781</v>
      </c>
      <c r="O86" s="340" t="e">
        <f t="shared" si="13"/>
        <v>#VALUE!</v>
      </c>
      <c r="P86" s="340" t="e">
        <f t="shared" si="14"/>
        <v>#VALUE!</v>
      </c>
      <c r="Q86" s="340" t="e">
        <f t="shared" si="15"/>
        <v>#VALUE!</v>
      </c>
      <c r="R86" s="340">
        <f t="shared" ca="1" si="16"/>
        <v>2013</v>
      </c>
      <c r="S86" s="340">
        <f t="shared" ca="1" si="17"/>
        <v>1</v>
      </c>
      <c r="T86" s="340">
        <f t="shared" ca="1" si="18"/>
        <v>10</v>
      </c>
      <c r="U86" s="357" t="str">
        <f t="shared" si="19"/>
        <v>-</v>
      </c>
    </row>
    <row r="87" spans="1:21" x14ac:dyDescent="0.2">
      <c r="A87" s="77" t="s">
        <v>136</v>
      </c>
      <c r="B87" s="176" t="s">
        <v>136</v>
      </c>
      <c r="C87" s="177" t="s">
        <v>136</v>
      </c>
      <c r="D87" s="178">
        <v>0</v>
      </c>
      <c r="E87" s="178">
        <v>0</v>
      </c>
      <c r="F87" s="179">
        <v>0</v>
      </c>
      <c r="G87" s="77">
        <v>0</v>
      </c>
      <c r="H87" s="78">
        <f t="shared" si="20"/>
        <v>0</v>
      </c>
      <c r="I87" s="78">
        <f t="shared" si="21"/>
        <v>0</v>
      </c>
      <c r="J87" s="77">
        <v>0</v>
      </c>
      <c r="K87" s="77">
        <v>0</v>
      </c>
      <c r="L87" s="78">
        <f t="shared" si="22"/>
        <v>0</v>
      </c>
      <c r="M87" s="174">
        <f t="shared" si="23"/>
        <v>0</v>
      </c>
      <c r="N87" s="339">
        <f t="shared" ca="1" si="12"/>
        <v>41284.323380902781</v>
      </c>
      <c r="O87" s="340" t="e">
        <f t="shared" si="13"/>
        <v>#VALUE!</v>
      </c>
      <c r="P87" s="340" t="e">
        <f t="shared" si="14"/>
        <v>#VALUE!</v>
      </c>
      <c r="Q87" s="340" t="e">
        <f t="shared" si="15"/>
        <v>#VALUE!</v>
      </c>
      <c r="R87" s="340">
        <f t="shared" ca="1" si="16"/>
        <v>2013</v>
      </c>
      <c r="S87" s="340">
        <f t="shared" ca="1" si="17"/>
        <v>1</v>
      </c>
      <c r="T87" s="340">
        <f t="shared" ca="1" si="18"/>
        <v>10</v>
      </c>
      <c r="U87" s="357" t="str">
        <f t="shared" si="19"/>
        <v>-</v>
      </c>
    </row>
    <row r="88" spans="1:21" x14ac:dyDescent="0.2">
      <c r="A88" s="77" t="s">
        <v>136</v>
      </c>
      <c r="B88" s="176" t="s">
        <v>136</v>
      </c>
      <c r="C88" s="177" t="s">
        <v>136</v>
      </c>
      <c r="D88" s="178">
        <v>0</v>
      </c>
      <c r="E88" s="178">
        <v>0</v>
      </c>
      <c r="F88" s="179">
        <v>0</v>
      </c>
      <c r="G88" s="77">
        <v>0</v>
      </c>
      <c r="H88" s="78">
        <f t="shared" si="20"/>
        <v>0</v>
      </c>
      <c r="I88" s="78">
        <f t="shared" si="21"/>
        <v>0</v>
      </c>
      <c r="J88" s="77">
        <v>0</v>
      </c>
      <c r="K88" s="77">
        <v>0</v>
      </c>
      <c r="L88" s="78">
        <f t="shared" si="22"/>
        <v>0</v>
      </c>
      <c r="M88" s="174">
        <f t="shared" si="23"/>
        <v>0</v>
      </c>
      <c r="N88" s="339">
        <f t="shared" ca="1" si="12"/>
        <v>41284.323380902781</v>
      </c>
      <c r="O88" s="340" t="e">
        <f t="shared" si="13"/>
        <v>#VALUE!</v>
      </c>
      <c r="P88" s="340" t="e">
        <f t="shared" si="14"/>
        <v>#VALUE!</v>
      </c>
      <c r="Q88" s="340" t="e">
        <f t="shared" si="15"/>
        <v>#VALUE!</v>
      </c>
      <c r="R88" s="340">
        <f t="shared" ca="1" si="16"/>
        <v>2013</v>
      </c>
      <c r="S88" s="340">
        <f t="shared" ca="1" si="17"/>
        <v>1</v>
      </c>
      <c r="T88" s="340">
        <f t="shared" ca="1" si="18"/>
        <v>10</v>
      </c>
      <c r="U88" s="357" t="str">
        <f t="shared" si="19"/>
        <v>-</v>
      </c>
    </row>
    <row r="89" spans="1:21" x14ac:dyDescent="0.2">
      <c r="A89" s="77" t="s">
        <v>136</v>
      </c>
      <c r="B89" s="176" t="s">
        <v>136</v>
      </c>
      <c r="C89" s="177" t="s">
        <v>136</v>
      </c>
      <c r="D89" s="178">
        <v>0</v>
      </c>
      <c r="E89" s="178">
        <v>0</v>
      </c>
      <c r="F89" s="179">
        <v>0</v>
      </c>
      <c r="G89" s="77">
        <v>0</v>
      </c>
      <c r="H89" s="78">
        <f t="shared" si="20"/>
        <v>0</v>
      </c>
      <c r="I89" s="78">
        <f t="shared" si="21"/>
        <v>0</v>
      </c>
      <c r="J89" s="77">
        <v>0</v>
      </c>
      <c r="K89" s="77">
        <v>0</v>
      </c>
      <c r="L89" s="78">
        <f t="shared" si="22"/>
        <v>0</v>
      </c>
      <c r="M89" s="174">
        <f t="shared" si="23"/>
        <v>0</v>
      </c>
      <c r="N89" s="339">
        <f t="shared" ca="1" si="12"/>
        <v>41284.323380902781</v>
      </c>
      <c r="O89" s="340" t="e">
        <f t="shared" si="13"/>
        <v>#VALUE!</v>
      </c>
      <c r="P89" s="340" t="e">
        <f t="shared" si="14"/>
        <v>#VALUE!</v>
      </c>
      <c r="Q89" s="340" t="e">
        <f t="shared" si="15"/>
        <v>#VALUE!</v>
      </c>
      <c r="R89" s="340">
        <f t="shared" ca="1" si="16"/>
        <v>2013</v>
      </c>
      <c r="S89" s="340">
        <f t="shared" ca="1" si="17"/>
        <v>1</v>
      </c>
      <c r="T89" s="340">
        <f t="shared" ca="1" si="18"/>
        <v>10</v>
      </c>
      <c r="U89" s="357" t="str">
        <f t="shared" si="19"/>
        <v>-</v>
      </c>
    </row>
    <row r="90" spans="1:21" x14ac:dyDescent="0.2">
      <c r="A90" s="77" t="s">
        <v>136</v>
      </c>
      <c r="B90" s="176" t="s">
        <v>136</v>
      </c>
      <c r="C90" s="177" t="s">
        <v>136</v>
      </c>
      <c r="D90" s="178">
        <v>0</v>
      </c>
      <c r="E90" s="178">
        <v>0</v>
      </c>
      <c r="F90" s="179">
        <v>0</v>
      </c>
      <c r="G90" s="77">
        <v>0</v>
      </c>
      <c r="H90" s="78">
        <f t="shared" si="20"/>
        <v>0</v>
      </c>
      <c r="I90" s="78">
        <f t="shared" si="21"/>
        <v>0</v>
      </c>
      <c r="J90" s="77">
        <v>0</v>
      </c>
      <c r="K90" s="77">
        <v>0</v>
      </c>
      <c r="L90" s="78">
        <f t="shared" si="22"/>
        <v>0</v>
      </c>
      <c r="M90" s="174">
        <f t="shared" si="23"/>
        <v>0</v>
      </c>
      <c r="N90" s="339">
        <f t="shared" ca="1" si="12"/>
        <v>41284.323380902781</v>
      </c>
      <c r="O90" s="340" t="e">
        <f t="shared" si="13"/>
        <v>#VALUE!</v>
      </c>
      <c r="P90" s="340" t="e">
        <f t="shared" si="14"/>
        <v>#VALUE!</v>
      </c>
      <c r="Q90" s="340" t="e">
        <f t="shared" si="15"/>
        <v>#VALUE!</v>
      </c>
      <c r="R90" s="340">
        <f t="shared" ca="1" si="16"/>
        <v>2013</v>
      </c>
      <c r="S90" s="340">
        <f t="shared" ca="1" si="17"/>
        <v>1</v>
      </c>
      <c r="T90" s="340">
        <f t="shared" ca="1" si="18"/>
        <v>10</v>
      </c>
      <c r="U90" s="357" t="str">
        <f t="shared" si="19"/>
        <v>-</v>
      </c>
    </row>
    <row r="91" spans="1:21" x14ac:dyDescent="0.2">
      <c r="A91" s="77" t="s">
        <v>136</v>
      </c>
      <c r="B91" s="176" t="s">
        <v>136</v>
      </c>
      <c r="C91" s="177" t="s">
        <v>136</v>
      </c>
      <c r="D91" s="178">
        <v>0</v>
      </c>
      <c r="E91" s="178">
        <v>0</v>
      </c>
      <c r="F91" s="179">
        <v>0</v>
      </c>
      <c r="G91" s="77">
        <v>0</v>
      </c>
      <c r="H91" s="78">
        <f t="shared" si="20"/>
        <v>0</v>
      </c>
      <c r="I91" s="78">
        <f t="shared" si="21"/>
        <v>0</v>
      </c>
      <c r="J91" s="77">
        <v>0</v>
      </c>
      <c r="K91" s="77">
        <v>0</v>
      </c>
      <c r="L91" s="78">
        <f t="shared" si="22"/>
        <v>0</v>
      </c>
      <c r="M91" s="174">
        <f t="shared" si="23"/>
        <v>0</v>
      </c>
      <c r="N91" s="339">
        <f t="shared" ca="1" si="12"/>
        <v>41284.323380902781</v>
      </c>
      <c r="O91" s="340" t="e">
        <f t="shared" si="13"/>
        <v>#VALUE!</v>
      </c>
      <c r="P91" s="340" t="e">
        <f t="shared" si="14"/>
        <v>#VALUE!</v>
      </c>
      <c r="Q91" s="340" t="e">
        <f t="shared" si="15"/>
        <v>#VALUE!</v>
      </c>
      <c r="R91" s="340">
        <f t="shared" ca="1" si="16"/>
        <v>2013</v>
      </c>
      <c r="S91" s="340">
        <f t="shared" ca="1" si="17"/>
        <v>1</v>
      </c>
      <c r="T91" s="340">
        <f t="shared" ca="1" si="18"/>
        <v>10</v>
      </c>
      <c r="U91" s="357" t="str">
        <f t="shared" si="19"/>
        <v>-</v>
      </c>
    </row>
    <row r="92" spans="1:21" x14ac:dyDescent="0.2">
      <c r="A92" s="77" t="s">
        <v>136</v>
      </c>
      <c r="B92" s="176" t="s">
        <v>136</v>
      </c>
      <c r="C92" s="177" t="s">
        <v>136</v>
      </c>
      <c r="D92" s="178">
        <v>0</v>
      </c>
      <c r="E92" s="178">
        <v>0</v>
      </c>
      <c r="F92" s="179">
        <v>0</v>
      </c>
      <c r="G92" s="77">
        <v>0</v>
      </c>
      <c r="H92" s="78">
        <f t="shared" si="20"/>
        <v>0</v>
      </c>
      <c r="I92" s="78">
        <f t="shared" si="21"/>
        <v>0</v>
      </c>
      <c r="J92" s="77">
        <v>0</v>
      </c>
      <c r="K92" s="77">
        <v>0</v>
      </c>
      <c r="L92" s="78">
        <f t="shared" si="22"/>
        <v>0</v>
      </c>
      <c r="M92" s="174">
        <f t="shared" si="23"/>
        <v>0</v>
      </c>
      <c r="N92" s="339">
        <f t="shared" ca="1" si="12"/>
        <v>41284.323380902781</v>
      </c>
      <c r="O92" s="340" t="e">
        <f t="shared" si="13"/>
        <v>#VALUE!</v>
      </c>
      <c r="P92" s="340" t="e">
        <f t="shared" si="14"/>
        <v>#VALUE!</v>
      </c>
      <c r="Q92" s="340" t="e">
        <f t="shared" si="15"/>
        <v>#VALUE!</v>
      </c>
      <c r="R92" s="340">
        <f t="shared" ca="1" si="16"/>
        <v>2013</v>
      </c>
      <c r="S92" s="340">
        <f t="shared" ca="1" si="17"/>
        <v>1</v>
      </c>
      <c r="T92" s="340">
        <f t="shared" ca="1" si="18"/>
        <v>10</v>
      </c>
      <c r="U92" s="357" t="str">
        <f t="shared" si="19"/>
        <v>-</v>
      </c>
    </row>
    <row r="93" spans="1:21" x14ac:dyDescent="0.2">
      <c r="A93" s="77" t="s">
        <v>136</v>
      </c>
      <c r="B93" s="176" t="s">
        <v>136</v>
      </c>
      <c r="C93" s="177" t="s">
        <v>136</v>
      </c>
      <c r="D93" s="178">
        <v>0</v>
      </c>
      <c r="E93" s="178">
        <v>0</v>
      </c>
      <c r="F93" s="179">
        <v>0</v>
      </c>
      <c r="G93" s="77">
        <v>0</v>
      </c>
      <c r="H93" s="78">
        <f t="shared" si="20"/>
        <v>0</v>
      </c>
      <c r="I93" s="78">
        <f t="shared" si="21"/>
        <v>0</v>
      </c>
      <c r="J93" s="77">
        <v>0</v>
      </c>
      <c r="K93" s="77">
        <v>0</v>
      </c>
      <c r="L93" s="78">
        <f t="shared" si="22"/>
        <v>0</v>
      </c>
      <c r="M93" s="174">
        <f t="shared" si="23"/>
        <v>0</v>
      </c>
      <c r="N93" s="339">
        <f t="shared" ca="1" si="12"/>
        <v>41284.323380902781</v>
      </c>
      <c r="O93" s="340" t="e">
        <f t="shared" si="13"/>
        <v>#VALUE!</v>
      </c>
      <c r="P93" s="340" t="e">
        <f t="shared" si="14"/>
        <v>#VALUE!</v>
      </c>
      <c r="Q93" s="340" t="e">
        <f t="shared" si="15"/>
        <v>#VALUE!</v>
      </c>
      <c r="R93" s="340">
        <f t="shared" ca="1" si="16"/>
        <v>2013</v>
      </c>
      <c r="S93" s="340">
        <f t="shared" ca="1" si="17"/>
        <v>1</v>
      </c>
      <c r="T93" s="340">
        <f t="shared" ca="1" si="18"/>
        <v>10</v>
      </c>
      <c r="U93" s="357" t="str">
        <f t="shared" si="19"/>
        <v>-</v>
      </c>
    </row>
    <row r="94" spans="1:21" x14ac:dyDescent="0.2">
      <c r="A94" s="77" t="s">
        <v>136</v>
      </c>
      <c r="B94" s="176" t="s">
        <v>136</v>
      </c>
      <c r="C94" s="177" t="s">
        <v>136</v>
      </c>
      <c r="D94" s="178">
        <v>0</v>
      </c>
      <c r="E94" s="178">
        <v>0</v>
      </c>
      <c r="F94" s="179">
        <v>0</v>
      </c>
      <c r="G94" s="77">
        <v>0</v>
      </c>
      <c r="H94" s="78">
        <f t="shared" si="20"/>
        <v>0</v>
      </c>
      <c r="I94" s="78">
        <f t="shared" si="21"/>
        <v>0</v>
      </c>
      <c r="J94" s="77">
        <v>0</v>
      </c>
      <c r="K94" s="77">
        <v>0</v>
      </c>
      <c r="L94" s="78">
        <f t="shared" si="22"/>
        <v>0</v>
      </c>
      <c r="M94" s="174">
        <f t="shared" si="23"/>
        <v>0</v>
      </c>
      <c r="N94" s="339">
        <f t="shared" ca="1" si="12"/>
        <v>41284.323380902781</v>
      </c>
      <c r="O94" s="340" t="e">
        <f t="shared" si="13"/>
        <v>#VALUE!</v>
      </c>
      <c r="P94" s="340" t="e">
        <f t="shared" si="14"/>
        <v>#VALUE!</v>
      </c>
      <c r="Q94" s="340" t="e">
        <f t="shared" si="15"/>
        <v>#VALUE!</v>
      </c>
      <c r="R94" s="340">
        <f t="shared" ca="1" si="16"/>
        <v>2013</v>
      </c>
      <c r="S94" s="340">
        <f t="shared" ca="1" si="17"/>
        <v>1</v>
      </c>
      <c r="T94" s="340">
        <f t="shared" ca="1" si="18"/>
        <v>10</v>
      </c>
      <c r="U94" s="357" t="str">
        <f t="shared" si="19"/>
        <v>-</v>
      </c>
    </row>
    <row r="95" spans="1:21" x14ac:dyDescent="0.2">
      <c r="A95" s="77" t="s">
        <v>136</v>
      </c>
      <c r="B95" s="176" t="s">
        <v>136</v>
      </c>
      <c r="C95" s="177" t="s">
        <v>136</v>
      </c>
      <c r="D95" s="178">
        <v>0</v>
      </c>
      <c r="E95" s="178">
        <v>0</v>
      </c>
      <c r="F95" s="179">
        <v>0</v>
      </c>
      <c r="G95" s="77">
        <v>0</v>
      </c>
      <c r="H95" s="78">
        <f t="shared" si="20"/>
        <v>0</v>
      </c>
      <c r="I95" s="78">
        <f t="shared" si="21"/>
        <v>0</v>
      </c>
      <c r="J95" s="77">
        <v>0</v>
      </c>
      <c r="K95" s="77">
        <v>0</v>
      </c>
      <c r="L95" s="78">
        <f t="shared" si="22"/>
        <v>0</v>
      </c>
      <c r="M95" s="174">
        <f t="shared" si="23"/>
        <v>0</v>
      </c>
      <c r="N95" s="339">
        <f t="shared" ca="1" si="12"/>
        <v>41284.323380902781</v>
      </c>
      <c r="O95" s="340" t="e">
        <f t="shared" si="13"/>
        <v>#VALUE!</v>
      </c>
      <c r="P95" s="340" t="e">
        <f t="shared" si="14"/>
        <v>#VALUE!</v>
      </c>
      <c r="Q95" s="340" t="e">
        <f t="shared" si="15"/>
        <v>#VALUE!</v>
      </c>
      <c r="R95" s="340">
        <f t="shared" ca="1" si="16"/>
        <v>2013</v>
      </c>
      <c r="S95" s="340">
        <f t="shared" ca="1" si="17"/>
        <v>1</v>
      </c>
      <c r="T95" s="340">
        <f t="shared" ca="1" si="18"/>
        <v>10</v>
      </c>
      <c r="U95" s="357" t="str">
        <f t="shared" si="19"/>
        <v>-</v>
      </c>
    </row>
    <row r="96" spans="1:21" x14ac:dyDescent="0.2">
      <c r="A96" s="77" t="s">
        <v>136</v>
      </c>
      <c r="B96" s="176" t="s">
        <v>136</v>
      </c>
      <c r="C96" s="177" t="s">
        <v>136</v>
      </c>
      <c r="D96" s="178">
        <v>0</v>
      </c>
      <c r="E96" s="178">
        <v>0</v>
      </c>
      <c r="F96" s="179">
        <v>0</v>
      </c>
      <c r="G96" s="77">
        <v>0</v>
      </c>
      <c r="H96" s="78">
        <f t="shared" si="20"/>
        <v>0</v>
      </c>
      <c r="I96" s="78">
        <f t="shared" si="21"/>
        <v>0</v>
      </c>
      <c r="J96" s="77">
        <v>0</v>
      </c>
      <c r="K96" s="77">
        <v>0</v>
      </c>
      <c r="L96" s="78">
        <f t="shared" si="22"/>
        <v>0</v>
      </c>
      <c r="M96" s="174">
        <f t="shared" si="23"/>
        <v>0</v>
      </c>
      <c r="N96" s="339">
        <f t="shared" ca="1" si="12"/>
        <v>41284.323380902781</v>
      </c>
      <c r="O96" s="340" t="e">
        <f t="shared" si="13"/>
        <v>#VALUE!</v>
      </c>
      <c r="P96" s="340" t="e">
        <f t="shared" si="14"/>
        <v>#VALUE!</v>
      </c>
      <c r="Q96" s="340" t="e">
        <f t="shared" si="15"/>
        <v>#VALUE!</v>
      </c>
      <c r="R96" s="340">
        <f t="shared" ca="1" si="16"/>
        <v>2013</v>
      </c>
      <c r="S96" s="340">
        <f t="shared" ca="1" si="17"/>
        <v>1</v>
      </c>
      <c r="T96" s="340">
        <f t="shared" ca="1" si="18"/>
        <v>10</v>
      </c>
      <c r="U96" s="357" t="str">
        <f t="shared" si="19"/>
        <v>-</v>
      </c>
    </row>
    <row r="97" spans="1:21" x14ac:dyDescent="0.2">
      <c r="A97" s="77" t="s">
        <v>136</v>
      </c>
      <c r="B97" s="176" t="s">
        <v>136</v>
      </c>
      <c r="C97" s="177" t="s">
        <v>136</v>
      </c>
      <c r="D97" s="178">
        <v>0</v>
      </c>
      <c r="E97" s="178">
        <v>0</v>
      </c>
      <c r="F97" s="179">
        <v>0</v>
      </c>
      <c r="G97" s="77">
        <v>0</v>
      </c>
      <c r="H97" s="78">
        <f t="shared" si="20"/>
        <v>0</v>
      </c>
      <c r="I97" s="78">
        <f t="shared" si="21"/>
        <v>0</v>
      </c>
      <c r="J97" s="77">
        <v>0</v>
      </c>
      <c r="K97" s="77">
        <v>0</v>
      </c>
      <c r="L97" s="78">
        <f t="shared" si="22"/>
        <v>0</v>
      </c>
      <c r="M97" s="174">
        <f t="shared" si="23"/>
        <v>0</v>
      </c>
      <c r="N97" s="339">
        <f t="shared" ca="1" si="12"/>
        <v>41284.323380902781</v>
      </c>
      <c r="O97" s="340" t="e">
        <f t="shared" si="13"/>
        <v>#VALUE!</v>
      </c>
      <c r="P97" s="340" t="e">
        <f t="shared" si="14"/>
        <v>#VALUE!</v>
      </c>
      <c r="Q97" s="340" t="e">
        <f t="shared" si="15"/>
        <v>#VALUE!</v>
      </c>
      <c r="R97" s="340">
        <f t="shared" ca="1" si="16"/>
        <v>2013</v>
      </c>
      <c r="S97" s="340">
        <f t="shared" ca="1" si="17"/>
        <v>1</v>
      </c>
      <c r="T97" s="340">
        <f t="shared" ca="1" si="18"/>
        <v>10</v>
      </c>
      <c r="U97" s="357" t="str">
        <f t="shared" si="19"/>
        <v>-</v>
      </c>
    </row>
    <row r="98" spans="1:21" x14ac:dyDescent="0.2">
      <c r="A98" s="77" t="s">
        <v>136</v>
      </c>
      <c r="B98" s="176" t="s">
        <v>136</v>
      </c>
      <c r="C98" s="177" t="s">
        <v>136</v>
      </c>
      <c r="D98" s="178">
        <v>0</v>
      </c>
      <c r="E98" s="178">
        <v>0</v>
      </c>
      <c r="F98" s="179">
        <v>0</v>
      </c>
      <c r="G98" s="77">
        <v>0</v>
      </c>
      <c r="H98" s="78">
        <f t="shared" si="20"/>
        <v>0</v>
      </c>
      <c r="I98" s="78">
        <f t="shared" si="21"/>
        <v>0</v>
      </c>
      <c r="J98" s="77">
        <v>0</v>
      </c>
      <c r="K98" s="77">
        <v>0</v>
      </c>
      <c r="L98" s="78">
        <f t="shared" si="22"/>
        <v>0</v>
      </c>
      <c r="M98" s="174">
        <f t="shared" si="23"/>
        <v>0</v>
      </c>
      <c r="N98" s="339">
        <f t="shared" ca="1" si="12"/>
        <v>41284.323380902781</v>
      </c>
      <c r="O98" s="340" t="e">
        <f t="shared" si="13"/>
        <v>#VALUE!</v>
      </c>
      <c r="P98" s="340" t="e">
        <f t="shared" si="14"/>
        <v>#VALUE!</v>
      </c>
      <c r="Q98" s="340" t="e">
        <f t="shared" si="15"/>
        <v>#VALUE!</v>
      </c>
      <c r="R98" s="340">
        <f t="shared" ca="1" si="16"/>
        <v>2013</v>
      </c>
      <c r="S98" s="340">
        <f t="shared" ca="1" si="17"/>
        <v>1</v>
      </c>
      <c r="T98" s="340">
        <f t="shared" ca="1" si="18"/>
        <v>10</v>
      </c>
      <c r="U98" s="357" t="str">
        <f t="shared" si="19"/>
        <v>-</v>
      </c>
    </row>
    <row r="99" spans="1:21" x14ac:dyDescent="0.2">
      <c r="A99" s="77" t="s">
        <v>136</v>
      </c>
      <c r="B99" s="176" t="s">
        <v>136</v>
      </c>
      <c r="C99" s="177" t="s">
        <v>136</v>
      </c>
      <c r="D99" s="178">
        <v>0</v>
      </c>
      <c r="E99" s="178">
        <v>0</v>
      </c>
      <c r="F99" s="179">
        <v>0</v>
      </c>
      <c r="G99" s="77">
        <v>0</v>
      </c>
      <c r="H99" s="78">
        <f t="shared" si="20"/>
        <v>0</v>
      </c>
      <c r="I99" s="78">
        <f t="shared" si="21"/>
        <v>0</v>
      </c>
      <c r="J99" s="77">
        <v>0</v>
      </c>
      <c r="K99" s="77">
        <v>0</v>
      </c>
      <c r="L99" s="78">
        <f t="shared" si="22"/>
        <v>0</v>
      </c>
      <c r="M99" s="174">
        <f t="shared" si="23"/>
        <v>0</v>
      </c>
      <c r="N99" s="339">
        <f t="shared" ca="1" si="12"/>
        <v>41284.323380902781</v>
      </c>
      <c r="O99" s="340" t="e">
        <f t="shared" si="13"/>
        <v>#VALUE!</v>
      </c>
      <c r="P99" s="340" t="e">
        <f t="shared" si="14"/>
        <v>#VALUE!</v>
      </c>
      <c r="Q99" s="340" t="e">
        <f t="shared" si="15"/>
        <v>#VALUE!</v>
      </c>
      <c r="R99" s="340">
        <f t="shared" ca="1" si="16"/>
        <v>2013</v>
      </c>
      <c r="S99" s="340">
        <f t="shared" ca="1" si="17"/>
        <v>1</v>
      </c>
      <c r="T99" s="340">
        <f t="shared" ca="1" si="18"/>
        <v>10</v>
      </c>
      <c r="U99" s="357" t="str">
        <f t="shared" si="19"/>
        <v>-</v>
      </c>
    </row>
    <row r="100" spans="1:21" x14ac:dyDescent="0.2">
      <c r="A100" s="77" t="s">
        <v>136</v>
      </c>
      <c r="B100" s="176" t="s">
        <v>136</v>
      </c>
      <c r="C100" s="177" t="s">
        <v>136</v>
      </c>
      <c r="D100" s="178">
        <v>0</v>
      </c>
      <c r="E100" s="178">
        <v>0</v>
      </c>
      <c r="F100" s="179">
        <v>0</v>
      </c>
      <c r="G100" s="77">
        <v>0</v>
      </c>
      <c r="H100" s="78">
        <f t="shared" si="20"/>
        <v>0</v>
      </c>
      <c r="I100" s="78">
        <f t="shared" si="21"/>
        <v>0</v>
      </c>
      <c r="J100" s="77">
        <v>0</v>
      </c>
      <c r="K100" s="77">
        <v>0</v>
      </c>
      <c r="L100" s="78">
        <f t="shared" si="22"/>
        <v>0</v>
      </c>
      <c r="M100" s="174">
        <f t="shared" si="23"/>
        <v>0</v>
      </c>
      <c r="N100" s="339">
        <f t="shared" ca="1" si="12"/>
        <v>41284.323380902781</v>
      </c>
      <c r="O100" s="340" t="e">
        <f t="shared" si="13"/>
        <v>#VALUE!</v>
      </c>
      <c r="P100" s="340" t="e">
        <f t="shared" si="14"/>
        <v>#VALUE!</v>
      </c>
      <c r="Q100" s="340" t="e">
        <f t="shared" si="15"/>
        <v>#VALUE!</v>
      </c>
      <c r="R100" s="340">
        <f t="shared" ca="1" si="16"/>
        <v>2013</v>
      </c>
      <c r="S100" s="340">
        <f t="shared" ca="1" si="17"/>
        <v>1</v>
      </c>
      <c r="T100" s="340">
        <f t="shared" ca="1" si="18"/>
        <v>10</v>
      </c>
      <c r="U100" s="357" t="str">
        <f t="shared" si="19"/>
        <v>-</v>
      </c>
    </row>
    <row r="101" spans="1:21" x14ac:dyDescent="0.2">
      <c r="A101" s="77" t="s">
        <v>136</v>
      </c>
      <c r="B101" s="176" t="s">
        <v>136</v>
      </c>
      <c r="C101" s="177" t="s">
        <v>136</v>
      </c>
      <c r="D101" s="178">
        <v>0</v>
      </c>
      <c r="E101" s="178">
        <v>0</v>
      </c>
      <c r="F101" s="179">
        <v>0</v>
      </c>
      <c r="G101" s="77">
        <v>0</v>
      </c>
      <c r="H101" s="78">
        <f t="shared" si="20"/>
        <v>0</v>
      </c>
      <c r="I101" s="78">
        <f t="shared" si="21"/>
        <v>0</v>
      </c>
      <c r="J101" s="77">
        <v>0</v>
      </c>
      <c r="K101" s="77">
        <v>0</v>
      </c>
      <c r="L101" s="78">
        <f t="shared" si="22"/>
        <v>0</v>
      </c>
      <c r="M101" s="174">
        <f t="shared" si="23"/>
        <v>0</v>
      </c>
      <c r="N101" s="339">
        <f t="shared" ca="1" si="12"/>
        <v>41284.323380902781</v>
      </c>
      <c r="O101" s="340" t="e">
        <f t="shared" si="13"/>
        <v>#VALUE!</v>
      </c>
      <c r="P101" s="340" t="e">
        <f t="shared" si="14"/>
        <v>#VALUE!</v>
      </c>
      <c r="Q101" s="340" t="e">
        <f t="shared" si="15"/>
        <v>#VALUE!</v>
      </c>
      <c r="R101" s="340">
        <f t="shared" ca="1" si="16"/>
        <v>2013</v>
      </c>
      <c r="S101" s="340">
        <f t="shared" ca="1" si="17"/>
        <v>1</v>
      </c>
      <c r="T101" s="340">
        <f t="shared" ca="1" si="18"/>
        <v>10</v>
      </c>
      <c r="U101" s="357" t="str">
        <f t="shared" si="19"/>
        <v>-</v>
      </c>
    </row>
    <row r="102" spans="1:21" x14ac:dyDescent="0.2">
      <c r="A102" s="77" t="s">
        <v>136</v>
      </c>
      <c r="B102" s="176" t="s">
        <v>136</v>
      </c>
      <c r="C102" s="177" t="s">
        <v>136</v>
      </c>
      <c r="D102" s="178">
        <v>0</v>
      </c>
      <c r="E102" s="178">
        <v>0</v>
      </c>
      <c r="F102" s="179">
        <v>0</v>
      </c>
      <c r="G102" s="77">
        <v>0</v>
      </c>
      <c r="H102" s="78">
        <f t="shared" si="20"/>
        <v>0</v>
      </c>
      <c r="I102" s="78">
        <f t="shared" si="21"/>
        <v>0</v>
      </c>
      <c r="J102" s="77">
        <v>0</v>
      </c>
      <c r="K102" s="77">
        <v>0</v>
      </c>
      <c r="L102" s="78">
        <f t="shared" si="22"/>
        <v>0</v>
      </c>
      <c r="M102" s="174">
        <f t="shared" si="23"/>
        <v>0</v>
      </c>
      <c r="N102" s="339">
        <f t="shared" ca="1" si="12"/>
        <v>41284.323380902781</v>
      </c>
      <c r="O102" s="340" t="e">
        <f t="shared" si="13"/>
        <v>#VALUE!</v>
      </c>
      <c r="P102" s="340" t="e">
        <f t="shared" si="14"/>
        <v>#VALUE!</v>
      </c>
      <c r="Q102" s="340" t="e">
        <f t="shared" si="15"/>
        <v>#VALUE!</v>
      </c>
      <c r="R102" s="340">
        <f t="shared" ca="1" si="16"/>
        <v>2013</v>
      </c>
      <c r="S102" s="340">
        <f t="shared" ca="1" si="17"/>
        <v>1</v>
      </c>
      <c r="T102" s="340">
        <f t="shared" ca="1" si="18"/>
        <v>10</v>
      </c>
      <c r="U102" s="357" t="str">
        <f t="shared" si="19"/>
        <v>-</v>
      </c>
    </row>
    <row r="103" spans="1:21" x14ac:dyDescent="0.2">
      <c r="A103" s="77" t="s">
        <v>136</v>
      </c>
      <c r="B103" s="176" t="s">
        <v>136</v>
      </c>
      <c r="C103" s="177" t="s">
        <v>136</v>
      </c>
      <c r="D103" s="178">
        <v>0</v>
      </c>
      <c r="E103" s="178">
        <v>0</v>
      </c>
      <c r="F103" s="179">
        <v>0</v>
      </c>
      <c r="G103" s="77">
        <v>0</v>
      </c>
      <c r="H103" s="78">
        <f t="shared" si="20"/>
        <v>0</v>
      </c>
      <c r="I103" s="78">
        <f t="shared" si="21"/>
        <v>0</v>
      </c>
      <c r="J103" s="77">
        <v>0</v>
      </c>
      <c r="K103" s="77">
        <v>0</v>
      </c>
      <c r="L103" s="78">
        <f t="shared" si="22"/>
        <v>0</v>
      </c>
      <c r="M103" s="174">
        <f t="shared" si="23"/>
        <v>0</v>
      </c>
      <c r="N103" s="339">
        <f t="shared" ca="1" si="12"/>
        <v>41284.323380902781</v>
      </c>
      <c r="O103" s="340" t="e">
        <f t="shared" si="13"/>
        <v>#VALUE!</v>
      </c>
      <c r="P103" s="340" t="e">
        <f t="shared" si="14"/>
        <v>#VALUE!</v>
      </c>
      <c r="Q103" s="340" t="e">
        <f t="shared" si="15"/>
        <v>#VALUE!</v>
      </c>
      <c r="R103" s="340">
        <f t="shared" ca="1" si="16"/>
        <v>2013</v>
      </c>
      <c r="S103" s="340">
        <f t="shared" ca="1" si="17"/>
        <v>1</v>
      </c>
      <c r="T103" s="340">
        <f t="shared" ca="1" si="18"/>
        <v>10</v>
      </c>
      <c r="U103" s="357" t="str">
        <f t="shared" si="19"/>
        <v>-</v>
      </c>
    </row>
    <row r="104" spans="1:21" x14ac:dyDescent="0.2">
      <c r="A104" s="77" t="s">
        <v>136</v>
      </c>
      <c r="B104" s="176" t="s">
        <v>136</v>
      </c>
      <c r="C104" s="177" t="s">
        <v>136</v>
      </c>
      <c r="D104" s="178">
        <v>0</v>
      </c>
      <c r="E104" s="178">
        <v>0</v>
      </c>
      <c r="F104" s="179">
        <v>0</v>
      </c>
      <c r="G104" s="77">
        <v>0</v>
      </c>
      <c r="H104" s="78">
        <f t="shared" si="20"/>
        <v>0</v>
      </c>
      <c r="I104" s="78">
        <f t="shared" si="21"/>
        <v>0</v>
      </c>
      <c r="J104" s="77">
        <v>0</v>
      </c>
      <c r="K104" s="77">
        <v>0</v>
      </c>
      <c r="L104" s="78">
        <f t="shared" si="22"/>
        <v>0</v>
      </c>
      <c r="M104" s="174">
        <f t="shared" si="23"/>
        <v>0</v>
      </c>
      <c r="N104" s="339">
        <f t="shared" ca="1" si="12"/>
        <v>41284.323380902781</v>
      </c>
      <c r="O104" s="340" t="e">
        <f t="shared" si="13"/>
        <v>#VALUE!</v>
      </c>
      <c r="P104" s="340" t="e">
        <f t="shared" si="14"/>
        <v>#VALUE!</v>
      </c>
      <c r="Q104" s="340" t="e">
        <f t="shared" si="15"/>
        <v>#VALUE!</v>
      </c>
      <c r="R104" s="340">
        <f t="shared" ca="1" si="16"/>
        <v>2013</v>
      </c>
      <c r="S104" s="340">
        <f t="shared" ca="1" si="17"/>
        <v>1</v>
      </c>
      <c r="T104" s="340">
        <f t="shared" ca="1" si="18"/>
        <v>10</v>
      </c>
      <c r="U104" s="357" t="str">
        <f t="shared" si="19"/>
        <v>-</v>
      </c>
    </row>
    <row r="105" spans="1:21" x14ac:dyDescent="0.2">
      <c r="A105" s="77" t="s">
        <v>136</v>
      </c>
      <c r="B105" s="176" t="s">
        <v>136</v>
      </c>
      <c r="C105" s="177" t="s">
        <v>136</v>
      </c>
      <c r="D105" s="178">
        <v>0</v>
      </c>
      <c r="E105" s="178">
        <v>0</v>
      </c>
      <c r="F105" s="179">
        <v>0</v>
      </c>
      <c r="G105" s="77">
        <v>0</v>
      </c>
      <c r="H105" s="78">
        <f t="shared" si="20"/>
        <v>0</v>
      </c>
      <c r="I105" s="78">
        <f t="shared" si="21"/>
        <v>0</v>
      </c>
      <c r="J105" s="77">
        <v>0</v>
      </c>
      <c r="K105" s="77">
        <v>0</v>
      </c>
      <c r="L105" s="78">
        <f t="shared" si="22"/>
        <v>0</v>
      </c>
      <c r="M105" s="174">
        <f t="shared" si="23"/>
        <v>0</v>
      </c>
      <c r="N105" s="339">
        <f t="shared" ca="1" si="12"/>
        <v>41284.323380902781</v>
      </c>
      <c r="O105" s="340" t="e">
        <f t="shared" si="13"/>
        <v>#VALUE!</v>
      </c>
      <c r="P105" s="340" t="e">
        <f t="shared" si="14"/>
        <v>#VALUE!</v>
      </c>
      <c r="Q105" s="340" t="e">
        <f t="shared" si="15"/>
        <v>#VALUE!</v>
      </c>
      <c r="R105" s="340">
        <f t="shared" ca="1" si="16"/>
        <v>2013</v>
      </c>
      <c r="S105" s="340">
        <f t="shared" ca="1" si="17"/>
        <v>1</v>
      </c>
      <c r="T105" s="340">
        <f t="shared" ca="1" si="18"/>
        <v>10</v>
      </c>
      <c r="U105" s="357" t="str">
        <f t="shared" si="19"/>
        <v>-</v>
      </c>
    </row>
    <row r="106" spans="1:21" x14ac:dyDescent="0.2">
      <c r="A106" s="77" t="s">
        <v>136</v>
      </c>
      <c r="B106" s="176" t="s">
        <v>136</v>
      </c>
      <c r="C106" s="177" t="s">
        <v>136</v>
      </c>
      <c r="D106" s="178">
        <v>0</v>
      </c>
      <c r="E106" s="178">
        <v>0</v>
      </c>
      <c r="F106" s="179">
        <v>0</v>
      </c>
      <c r="G106" s="77">
        <v>0</v>
      </c>
      <c r="H106" s="78">
        <f t="shared" si="20"/>
        <v>0</v>
      </c>
      <c r="I106" s="78">
        <f t="shared" si="21"/>
        <v>0</v>
      </c>
      <c r="J106" s="77">
        <v>0</v>
      </c>
      <c r="K106" s="77">
        <v>0</v>
      </c>
      <c r="L106" s="78">
        <f t="shared" si="22"/>
        <v>0</v>
      </c>
      <c r="M106" s="174">
        <f t="shared" si="23"/>
        <v>0</v>
      </c>
      <c r="N106" s="339">
        <f t="shared" ca="1" si="12"/>
        <v>41284.323380902781</v>
      </c>
      <c r="O106" s="340" t="e">
        <f t="shared" si="13"/>
        <v>#VALUE!</v>
      </c>
      <c r="P106" s="340" t="e">
        <f t="shared" si="14"/>
        <v>#VALUE!</v>
      </c>
      <c r="Q106" s="340" t="e">
        <f t="shared" si="15"/>
        <v>#VALUE!</v>
      </c>
      <c r="R106" s="340">
        <f t="shared" ca="1" si="16"/>
        <v>2013</v>
      </c>
      <c r="S106" s="340">
        <f t="shared" ca="1" si="17"/>
        <v>1</v>
      </c>
      <c r="T106" s="340">
        <f t="shared" ca="1" si="18"/>
        <v>10</v>
      </c>
      <c r="U106" s="357" t="str">
        <f t="shared" si="19"/>
        <v>-</v>
      </c>
    </row>
    <row r="107" spans="1:21" x14ac:dyDescent="0.2">
      <c r="A107" s="77" t="s">
        <v>136</v>
      </c>
      <c r="B107" s="176" t="s">
        <v>136</v>
      </c>
      <c r="C107" s="177" t="s">
        <v>136</v>
      </c>
      <c r="D107" s="178">
        <v>0</v>
      </c>
      <c r="E107" s="178">
        <v>0</v>
      </c>
      <c r="F107" s="179">
        <v>0</v>
      </c>
      <c r="G107" s="77">
        <v>0</v>
      </c>
      <c r="H107" s="78">
        <f t="shared" si="20"/>
        <v>0</v>
      </c>
      <c r="I107" s="78">
        <f t="shared" si="21"/>
        <v>0</v>
      </c>
      <c r="J107" s="77">
        <v>0</v>
      </c>
      <c r="K107" s="77">
        <v>0</v>
      </c>
      <c r="L107" s="78">
        <f t="shared" si="22"/>
        <v>0</v>
      </c>
      <c r="M107" s="174">
        <f t="shared" si="23"/>
        <v>0</v>
      </c>
      <c r="N107" s="339">
        <f t="shared" ca="1" si="12"/>
        <v>41284.323380902781</v>
      </c>
      <c r="O107" s="340" t="e">
        <f t="shared" si="13"/>
        <v>#VALUE!</v>
      </c>
      <c r="P107" s="340" t="e">
        <f t="shared" si="14"/>
        <v>#VALUE!</v>
      </c>
      <c r="Q107" s="340" t="e">
        <f t="shared" si="15"/>
        <v>#VALUE!</v>
      </c>
      <c r="R107" s="340">
        <f t="shared" ca="1" si="16"/>
        <v>2013</v>
      </c>
      <c r="S107" s="340">
        <f t="shared" ca="1" si="17"/>
        <v>1</v>
      </c>
      <c r="T107" s="340">
        <f t="shared" ca="1" si="18"/>
        <v>10</v>
      </c>
      <c r="U107" s="357" t="str">
        <f t="shared" si="19"/>
        <v>-</v>
      </c>
    </row>
    <row r="108" spans="1:21" x14ac:dyDescent="0.2">
      <c r="A108" s="77" t="s">
        <v>136</v>
      </c>
      <c r="B108" s="176" t="s">
        <v>136</v>
      </c>
      <c r="C108" s="177" t="s">
        <v>136</v>
      </c>
      <c r="D108" s="178">
        <v>0</v>
      </c>
      <c r="E108" s="178">
        <v>0</v>
      </c>
      <c r="F108" s="179">
        <v>0</v>
      </c>
      <c r="G108" s="77">
        <v>0</v>
      </c>
      <c r="H108" s="78">
        <f t="shared" si="20"/>
        <v>0</v>
      </c>
      <c r="I108" s="78">
        <f t="shared" si="21"/>
        <v>0</v>
      </c>
      <c r="J108" s="77">
        <v>0</v>
      </c>
      <c r="K108" s="77">
        <v>0</v>
      </c>
      <c r="L108" s="78">
        <f t="shared" si="22"/>
        <v>0</v>
      </c>
      <c r="M108" s="174">
        <f t="shared" si="23"/>
        <v>0</v>
      </c>
      <c r="N108" s="339">
        <f t="shared" ca="1" si="12"/>
        <v>41284.323380902781</v>
      </c>
      <c r="O108" s="340" t="e">
        <f t="shared" si="13"/>
        <v>#VALUE!</v>
      </c>
      <c r="P108" s="340" t="e">
        <f t="shared" si="14"/>
        <v>#VALUE!</v>
      </c>
      <c r="Q108" s="340" t="e">
        <f t="shared" si="15"/>
        <v>#VALUE!</v>
      </c>
      <c r="R108" s="340">
        <f t="shared" ca="1" si="16"/>
        <v>2013</v>
      </c>
      <c r="S108" s="340">
        <f t="shared" ca="1" si="17"/>
        <v>1</v>
      </c>
      <c r="T108" s="340">
        <f t="shared" ca="1" si="18"/>
        <v>10</v>
      </c>
      <c r="U108" s="357" t="str">
        <f t="shared" si="19"/>
        <v>-</v>
      </c>
    </row>
    <row r="109" spans="1:21" x14ac:dyDescent="0.2">
      <c r="A109" s="77" t="s">
        <v>136</v>
      </c>
      <c r="B109" s="176" t="s">
        <v>136</v>
      </c>
      <c r="C109" s="177" t="s">
        <v>136</v>
      </c>
      <c r="D109" s="178">
        <v>0</v>
      </c>
      <c r="E109" s="178">
        <v>0</v>
      </c>
      <c r="F109" s="179">
        <v>0</v>
      </c>
      <c r="G109" s="77">
        <v>0</v>
      </c>
      <c r="H109" s="78">
        <f t="shared" si="20"/>
        <v>0</v>
      </c>
      <c r="I109" s="78">
        <f t="shared" si="21"/>
        <v>0</v>
      </c>
      <c r="J109" s="77">
        <v>0</v>
      </c>
      <c r="K109" s="77">
        <v>0</v>
      </c>
      <c r="L109" s="78">
        <f t="shared" si="22"/>
        <v>0</v>
      </c>
      <c r="M109" s="174">
        <f t="shared" si="23"/>
        <v>0</v>
      </c>
      <c r="N109" s="339">
        <f t="shared" ca="1" si="12"/>
        <v>41284.323380902781</v>
      </c>
      <c r="O109" s="340" t="e">
        <f t="shared" si="13"/>
        <v>#VALUE!</v>
      </c>
      <c r="P109" s="340" t="e">
        <f t="shared" si="14"/>
        <v>#VALUE!</v>
      </c>
      <c r="Q109" s="340" t="e">
        <f t="shared" si="15"/>
        <v>#VALUE!</v>
      </c>
      <c r="R109" s="340">
        <f t="shared" ca="1" si="16"/>
        <v>2013</v>
      </c>
      <c r="S109" s="340">
        <f t="shared" ca="1" si="17"/>
        <v>1</v>
      </c>
      <c r="T109" s="340">
        <f t="shared" ca="1" si="18"/>
        <v>10</v>
      </c>
      <c r="U109" s="357" t="str">
        <f t="shared" si="19"/>
        <v>-</v>
      </c>
    </row>
    <row r="110" spans="1:21" x14ac:dyDescent="0.2">
      <c r="A110" s="77" t="s">
        <v>136</v>
      </c>
      <c r="B110" s="176" t="s">
        <v>136</v>
      </c>
      <c r="C110" s="177" t="s">
        <v>136</v>
      </c>
      <c r="D110" s="178">
        <v>0</v>
      </c>
      <c r="E110" s="178">
        <v>0</v>
      </c>
      <c r="F110" s="179">
        <v>0</v>
      </c>
      <c r="G110" s="77">
        <v>0</v>
      </c>
      <c r="H110" s="78">
        <f t="shared" si="20"/>
        <v>0</v>
      </c>
      <c r="I110" s="78">
        <f t="shared" si="21"/>
        <v>0</v>
      </c>
      <c r="J110" s="77">
        <v>0</v>
      </c>
      <c r="K110" s="77">
        <v>0</v>
      </c>
      <c r="L110" s="78">
        <f t="shared" si="22"/>
        <v>0</v>
      </c>
      <c r="M110" s="174">
        <f t="shared" si="23"/>
        <v>0</v>
      </c>
      <c r="N110" s="339">
        <f t="shared" ca="1" si="12"/>
        <v>41284.323380902781</v>
      </c>
      <c r="O110" s="340" t="e">
        <f t="shared" si="13"/>
        <v>#VALUE!</v>
      </c>
      <c r="P110" s="340" t="e">
        <f t="shared" si="14"/>
        <v>#VALUE!</v>
      </c>
      <c r="Q110" s="340" t="e">
        <f t="shared" si="15"/>
        <v>#VALUE!</v>
      </c>
      <c r="R110" s="340">
        <f t="shared" ca="1" si="16"/>
        <v>2013</v>
      </c>
      <c r="S110" s="340">
        <f t="shared" ca="1" si="17"/>
        <v>1</v>
      </c>
      <c r="T110" s="340">
        <f t="shared" ca="1" si="18"/>
        <v>10</v>
      </c>
      <c r="U110" s="357" t="str">
        <f t="shared" si="19"/>
        <v>-</v>
      </c>
    </row>
    <row r="111" spans="1:21" x14ac:dyDescent="0.2">
      <c r="A111" s="77" t="s">
        <v>136</v>
      </c>
      <c r="B111" s="176" t="s">
        <v>136</v>
      </c>
      <c r="C111" s="177" t="s">
        <v>136</v>
      </c>
      <c r="D111" s="178">
        <v>0</v>
      </c>
      <c r="E111" s="178">
        <v>0</v>
      </c>
      <c r="F111" s="179">
        <v>0</v>
      </c>
      <c r="G111" s="77">
        <v>0</v>
      </c>
      <c r="H111" s="78">
        <f t="shared" si="20"/>
        <v>0</v>
      </c>
      <c r="I111" s="78">
        <f t="shared" si="21"/>
        <v>0</v>
      </c>
      <c r="J111" s="77">
        <v>0</v>
      </c>
      <c r="K111" s="77">
        <v>0</v>
      </c>
      <c r="L111" s="78">
        <f t="shared" si="22"/>
        <v>0</v>
      </c>
      <c r="M111" s="174">
        <f t="shared" si="23"/>
        <v>0</v>
      </c>
      <c r="N111" s="339">
        <f t="shared" ca="1" si="12"/>
        <v>41284.323380902781</v>
      </c>
      <c r="O111" s="340" t="e">
        <f t="shared" si="13"/>
        <v>#VALUE!</v>
      </c>
      <c r="P111" s="340" t="e">
        <f t="shared" si="14"/>
        <v>#VALUE!</v>
      </c>
      <c r="Q111" s="340" t="e">
        <f t="shared" si="15"/>
        <v>#VALUE!</v>
      </c>
      <c r="R111" s="340">
        <f t="shared" ca="1" si="16"/>
        <v>2013</v>
      </c>
      <c r="S111" s="340">
        <f t="shared" ca="1" si="17"/>
        <v>1</v>
      </c>
      <c r="T111" s="340">
        <f t="shared" ca="1" si="18"/>
        <v>10</v>
      </c>
      <c r="U111" s="357" t="str">
        <f t="shared" si="19"/>
        <v>-</v>
      </c>
    </row>
    <row r="112" spans="1:21" x14ac:dyDescent="0.2">
      <c r="A112" s="77" t="s">
        <v>136</v>
      </c>
      <c r="B112" s="176" t="s">
        <v>136</v>
      </c>
      <c r="C112" s="177" t="s">
        <v>136</v>
      </c>
      <c r="D112" s="178">
        <v>0</v>
      </c>
      <c r="E112" s="178">
        <v>0</v>
      </c>
      <c r="F112" s="179">
        <v>0</v>
      </c>
      <c r="G112" s="77">
        <v>0</v>
      </c>
      <c r="H112" s="78">
        <f t="shared" si="20"/>
        <v>0</v>
      </c>
      <c r="I112" s="78">
        <f t="shared" si="21"/>
        <v>0</v>
      </c>
      <c r="J112" s="77">
        <v>0</v>
      </c>
      <c r="K112" s="77">
        <v>0</v>
      </c>
      <c r="L112" s="78">
        <f t="shared" si="22"/>
        <v>0</v>
      </c>
      <c r="M112" s="174">
        <f t="shared" si="23"/>
        <v>0</v>
      </c>
      <c r="N112" s="339">
        <f t="shared" ca="1" si="12"/>
        <v>41284.323380902781</v>
      </c>
      <c r="O112" s="340" t="e">
        <f t="shared" si="13"/>
        <v>#VALUE!</v>
      </c>
      <c r="P112" s="340" t="e">
        <f t="shared" si="14"/>
        <v>#VALUE!</v>
      </c>
      <c r="Q112" s="340" t="e">
        <f t="shared" si="15"/>
        <v>#VALUE!</v>
      </c>
      <c r="R112" s="340">
        <f t="shared" ca="1" si="16"/>
        <v>2013</v>
      </c>
      <c r="S112" s="340">
        <f t="shared" ca="1" si="17"/>
        <v>1</v>
      </c>
      <c r="T112" s="340">
        <f t="shared" ca="1" si="18"/>
        <v>10</v>
      </c>
      <c r="U112" s="357" t="str">
        <f t="shared" si="19"/>
        <v>-</v>
      </c>
    </row>
    <row r="113" spans="1:21" x14ac:dyDescent="0.2">
      <c r="A113" s="77" t="s">
        <v>136</v>
      </c>
      <c r="B113" s="176" t="s">
        <v>136</v>
      </c>
      <c r="C113" s="177" t="s">
        <v>136</v>
      </c>
      <c r="D113" s="178">
        <v>0</v>
      </c>
      <c r="E113" s="178">
        <v>0</v>
      </c>
      <c r="F113" s="179">
        <v>0</v>
      </c>
      <c r="G113" s="77">
        <v>0</v>
      </c>
      <c r="H113" s="78">
        <f t="shared" si="20"/>
        <v>0</v>
      </c>
      <c r="I113" s="78">
        <f t="shared" si="21"/>
        <v>0</v>
      </c>
      <c r="J113" s="77">
        <v>0</v>
      </c>
      <c r="K113" s="77">
        <v>0</v>
      </c>
      <c r="L113" s="78">
        <f t="shared" si="22"/>
        <v>0</v>
      </c>
      <c r="M113" s="174">
        <f t="shared" si="23"/>
        <v>0</v>
      </c>
      <c r="N113" s="339">
        <f t="shared" ca="1" si="12"/>
        <v>41284.323380902781</v>
      </c>
      <c r="O113" s="340" t="e">
        <f t="shared" si="13"/>
        <v>#VALUE!</v>
      </c>
      <c r="P113" s="340" t="e">
        <f t="shared" si="14"/>
        <v>#VALUE!</v>
      </c>
      <c r="Q113" s="340" t="e">
        <f t="shared" si="15"/>
        <v>#VALUE!</v>
      </c>
      <c r="R113" s="340">
        <f t="shared" ca="1" si="16"/>
        <v>2013</v>
      </c>
      <c r="S113" s="340">
        <f t="shared" ca="1" si="17"/>
        <v>1</v>
      </c>
      <c r="T113" s="340">
        <f t="shared" ca="1" si="18"/>
        <v>10</v>
      </c>
      <c r="U113" s="357" t="str">
        <f t="shared" si="19"/>
        <v>-</v>
      </c>
    </row>
    <row r="114" spans="1:21" x14ac:dyDescent="0.2">
      <c r="A114" s="77" t="s">
        <v>136</v>
      </c>
      <c r="B114" s="176" t="s">
        <v>136</v>
      </c>
      <c r="C114" s="177" t="s">
        <v>136</v>
      </c>
      <c r="D114" s="178">
        <v>0</v>
      </c>
      <c r="E114" s="178">
        <v>0</v>
      </c>
      <c r="F114" s="179">
        <v>0</v>
      </c>
      <c r="G114" s="77">
        <v>0</v>
      </c>
      <c r="H114" s="78">
        <f t="shared" si="20"/>
        <v>0</v>
      </c>
      <c r="I114" s="78">
        <f t="shared" si="21"/>
        <v>0</v>
      </c>
      <c r="J114" s="77">
        <v>0</v>
      </c>
      <c r="K114" s="77">
        <v>0</v>
      </c>
      <c r="L114" s="78">
        <f t="shared" si="22"/>
        <v>0</v>
      </c>
      <c r="M114" s="174">
        <f t="shared" si="23"/>
        <v>0</v>
      </c>
      <c r="N114" s="339">
        <f t="shared" ca="1" si="12"/>
        <v>41284.323380902781</v>
      </c>
      <c r="O114" s="340" t="e">
        <f t="shared" si="13"/>
        <v>#VALUE!</v>
      </c>
      <c r="P114" s="340" t="e">
        <f t="shared" si="14"/>
        <v>#VALUE!</v>
      </c>
      <c r="Q114" s="340" t="e">
        <f t="shared" si="15"/>
        <v>#VALUE!</v>
      </c>
      <c r="R114" s="340">
        <f t="shared" ca="1" si="16"/>
        <v>2013</v>
      </c>
      <c r="S114" s="340">
        <f t="shared" ca="1" si="17"/>
        <v>1</v>
      </c>
      <c r="T114" s="340">
        <f t="shared" ca="1" si="18"/>
        <v>10</v>
      </c>
      <c r="U114" s="357" t="str">
        <f t="shared" si="19"/>
        <v>-</v>
      </c>
    </row>
    <row r="115" spans="1:21" x14ac:dyDescent="0.2">
      <c r="A115" s="77" t="s">
        <v>136</v>
      </c>
      <c r="B115" s="176" t="s">
        <v>136</v>
      </c>
      <c r="C115" s="177" t="s">
        <v>136</v>
      </c>
      <c r="D115" s="178">
        <v>0</v>
      </c>
      <c r="E115" s="178">
        <v>0</v>
      </c>
      <c r="F115" s="179">
        <v>0</v>
      </c>
      <c r="G115" s="77">
        <v>0</v>
      </c>
      <c r="H115" s="78">
        <f t="shared" si="20"/>
        <v>0</v>
      </c>
      <c r="I115" s="78">
        <f t="shared" si="21"/>
        <v>0</v>
      </c>
      <c r="J115" s="77">
        <v>0</v>
      </c>
      <c r="K115" s="77">
        <v>0</v>
      </c>
      <c r="L115" s="78">
        <f t="shared" si="22"/>
        <v>0</v>
      </c>
      <c r="M115" s="174">
        <f t="shared" si="23"/>
        <v>0</v>
      </c>
      <c r="N115" s="339">
        <f t="shared" ca="1" si="12"/>
        <v>41284.323380902781</v>
      </c>
      <c r="O115" s="340" t="e">
        <f t="shared" si="13"/>
        <v>#VALUE!</v>
      </c>
      <c r="P115" s="340" t="e">
        <f t="shared" si="14"/>
        <v>#VALUE!</v>
      </c>
      <c r="Q115" s="340" t="e">
        <f t="shared" si="15"/>
        <v>#VALUE!</v>
      </c>
      <c r="R115" s="340">
        <f t="shared" ca="1" si="16"/>
        <v>2013</v>
      </c>
      <c r="S115" s="340">
        <f t="shared" ca="1" si="17"/>
        <v>1</v>
      </c>
      <c r="T115" s="340">
        <f t="shared" ca="1" si="18"/>
        <v>10</v>
      </c>
      <c r="U115" s="357" t="str">
        <f t="shared" si="19"/>
        <v>-</v>
      </c>
    </row>
    <row r="116" spans="1:21" x14ac:dyDescent="0.2">
      <c r="A116" s="77" t="s">
        <v>136</v>
      </c>
      <c r="B116" s="176" t="s">
        <v>136</v>
      </c>
      <c r="C116" s="177" t="s">
        <v>136</v>
      </c>
      <c r="D116" s="178">
        <v>0</v>
      </c>
      <c r="E116" s="178">
        <v>0</v>
      </c>
      <c r="F116" s="179">
        <v>0</v>
      </c>
      <c r="G116" s="77">
        <v>0</v>
      </c>
      <c r="H116" s="78">
        <f t="shared" si="20"/>
        <v>0</v>
      </c>
      <c r="I116" s="78">
        <f t="shared" si="21"/>
        <v>0</v>
      </c>
      <c r="J116" s="77">
        <v>0</v>
      </c>
      <c r="K116" s="77">
        <v>0</v>
      </c>
      <c r="L116" s="78">
        <f t="shared" si="22"/>
        <v>0</v>
      </c>
      <c r="M116" s="174">
        <f t="shared" si="23"/>
        <v>0</v>
      </c>
      <c r="N116" s="339">
        <f t="shared" ca="1" si="12"/>
        <v>41284.323380902781</v>
      </c>
      <c r="O116" s="340" t="e">
        <f t="shared" si="13"/>
        <v>#VALUE!</v>
      </c>
      <c r="P116" s="340" t="e">
        <f t="shared" si="14"/>
        <v>#VALUE!</v>
      </c>
      <c r="Q116" s="340" t="e">
        <f t="shared" si="15"/>
        <v>#VALUE!</v>
      </c>
      <c r="R116" s="340">
        <f t="shared" ca="1" si="16"/>
        <v>2013</v>
      </c>
      <c r="S116" s="340">
        <f t="shared" ca="1" si="17"/>
        <v>1</v>
      </c>
      <c r="T116" s="340">
        <f t="shared" ca="1" si="18"/>
        <v>10</v>
      </c>
      <c r="U116" s="357" t="str">
        <f t="shared" si="19"/>
        <v>-</v>
      </c>
    </row>
    <row r="117" spans="1:21" x14ac:dyDescent="0.2">
      <c r="A117" s="77" t="s">
        <v>136</v>
      </c>
      <c r="B117" s="176" t="s">
        <v>136</v>
      </c>
      <c r="C117" s="177" t="s">
        <v>136</v>
      </c>
      <c r="D117" s="178">
        <v>0</v>
      </c>
      <c r="E117" s="178">
        <v>0</v>
      </c>
      <c r="F117" s="179">
        <v>0</v>
      </c>
      <c r="G117" s="77">
        <v>0</v>
      </c>
      <c r="H117" s="78">
        <f t="shared" si="20"/>
        <v>0</v>
      </c>
      <c r="I117" s="78">
        <f t="shared" si="21"/>
        <v>0</v>
      </c>
      <c r="J117" s="77">
        <v>0</v>
      </c>
      <c r="K117" s="77">
        <v>0</v>
      </c>
      <c r="L117" s="78">
        <f t="shared" si="22"/>
        <v>0</v>
      </c>
      <c r="M117" s="174">
        <f t="shared" si="23"/>
        <v>0</v>
      </c>
      <c r="N117" s="339">
        <f t="shared" ca="1" si="12"/>
        <v>41284.323380902781</v>
      </c>
      <c r="O117" s="340" t="e">
        <f t="shared" si="13"/>
        <v>#VALUE!</v>
      </c>
      <c r="P117" s="340" t="e">
        <f t="shared" si="14"/>
        <v>#VALUE!</v>
      </c>
      <c r="Q117" s="340" t="e">
        <f t="shared" si="15"/>
        <v>#VALUE!</v>
      </c>
      <c r="R117" s="340">
        <f t="shared" ca="1" si="16"/>
        <v>2013</v>
      </c>
      <c r="S117" s="340">
        <f t="shared" ca="1" si="17"/>
        <v>1</v>
      </c>
      <c r="T117" s="340">
        <f t="shared" ca="1" si="18"/>
        <v>10</v>
      </c>
      <c r="U117" s="357" t="str">
        <f t="shared" si="19"/>
        <v>-</v>
      </c>
    </row>
    <row r="118" spans="1:21" x14ac:dyDescent="0.2">
      <c r="A118" s="77" t="s">
        <v>136</v>
      </c>
      <c r="B118" s="176" t="s">
        <v>136</v>
      </c>
      <c r="C118" s="177" t="s">
        <v>136</v>
      </c>
      <c r="D118" s="178">
        <v>0</v>
      </c>
      <c r="E118" s="178">
        <v>0</v>
      </c>
      <c r="F118" s="179">
        <v>0</v>
      </c>
      <c r="G118" s="77">
        <v>0</v>
      </c>
      <c r="H118" s="78">
        <f t="shared" si="20"/>
        <v>0</v>
      </c>
      <c r="I118" s="78">
        <f t="shared" si="21"/>
        <v>0</v>
      </c>
      <c r="J118" s="77">
        <v>0</v>
      </c>
      <c r="K118" s="77">
        <v>0</v>
      </c>
      <c r="L118" s="78">
        <f t="shared" si="22"/>
        <v>0</v>
      </c>
      <c r="M118" s="174">
        <f t="shared" si="23"/>
        <v>0</v>
      </c>
      <c r="N118" s="339">
        <f t="shared" ca="1" si="12"/>
        <v>41284.323380902781</v>
      </c>
      <c r="O118" s="340" t="e">
        <f t="shared" si="13"/>
        <v>#VALUE!</v>
      </c>
      <c r="P118" s="340" t="e">
        <f t="shared" si="14"/>
        <v>#VALUE!</v>
      </c>
      <c r="Q118" s="340" t="e">
        <f t="shared" si="15"/>
        <v>#VALUE!</v>
      </c>
      <c r="R118" s="340">
        <f t="shared" ca="1" si="16"/>
        <v>2013</v>
      </c>
      <c r="S118" s="340">
        <f t="shared" ca="1" si="17"/>
        <v>1</v>
      </c>
      <c r="T118" s="340">
        <f t="shared" ca="1" si="18"/>
        <v>10</v>
      </c>
      <c r="U118" s="357" t="str">
        <f t="shared" si="19"/>
        <v>-</v>
      </c>
    </row>
    <row r="119" spans="1:21" x14ac:dyDescent="0.2">
      <c r="A119" s="77" t="s">
        <v>136</v>
      </c>
      <c r="B119" s="176" t="s">
        <v>136</v>
      </c>
      <c r="C119" s="177" t="s">
        <v>136</v>
      </c>
      <c r="D119" s="178">
        <v>0</v>
      </c>
      <c r="E119" s="178">
        <v>0</v>
      </c>
      <c r="F119" s="179">
        <v>0</v>
      </c>
      <c r="G119" s="77">
        <v>0</v>
      </c>
      <c r="H119" s="78">
        <f t="shared" si="20"/>
        <v>0</v>
      </c>
      <c r="I119" s="78">
        <f t="shared" si="21"/>
        <v>0</v>
      </c>
      <c r="J119" s="77">
        <v>0</v>
      </c>
      <c r="K119" s="77">
        <v>0</v>
      </c>
      <c r="L119" s="78">
        <f t="shared" si="22"/>
        <v>0</v>
      </c>
      <c r="M119" s="174">
        <f t="shared" si="23"/>
        <v>0</v>
      </c>
      <c r="N119" s="339">
        <f t="shared" ca="1" si="12"/>
        <v>41284.323380902781</v>
      </c>
      <c r="O119" s="340" t="e">
        <f t="shared" si="13"/>
        <v>#VALUE!</v>
      </c>
      <c r="P119" s="340" t="e">
        <f t="shared" si="14"/>
        <v>#VALUE!</v>
      </c>
      <c r="Q119" s="340" t="e">
        <f t="shared" si="15"/>
        <v>#VALUE!</v>
      </c>
      <c r="R119" s="340">
        <f t="shared" ca="1" si="16"/>
        <v>2013</v>
      </c>
      <c r="S119" s="340">
        <f t="shared" ca="1" si="17"/>
        <v>1</v>
      </c>
      <c r="T119" s="340">
        <f t="shared" ca="1" si="18"/>
        <v>10</v>
      </c>
      <c r="U119" s="357" t="str">
        <f t="shared" si="19"/>
        <v>-</v>
      </c>
    </row>
    <row r="120" spans="1:21" x14ac:dyDescent="0.2">
      <c r="A120" s="77" t="s">
        <v>136</v>
      </c>
      <c r="B120" s="176" t="s">
        <v>136</v>
      </c>
      <c r="C120" s="177" t="s">
        <v>136</v>
      </c>
      <c r="D120" s="178">
        <v>0</v>
      </c>
      <c r="E120" s="178">
        <v>0</v>
      </c>
      <c r="F120" s="179">
        <v>0</v>
      </c>
      <c r="G120" s="77">
        <v>0</v>
      </c>
      <c r="H120" s="78">
        <f t="shared" si="20"/>
        <v>0</v>
      </c>
      <c r="I120" s="78">
        <f t="shared" si="21"/>
        <v>0</v>
      </c>
      <c r="J120" s="77">
        <v>0</v>
      </c>
      <c r="K120" s="77">
        <v>0</v>
      </c>
      <c r="L120" s="78">
        <f t="shared" si="22"/>
        <v>0</v>
      </c>
      <c r="M120" s="174">
        <f t="shared" si="23"/>
        <v>0</v>
      </c>
      <c r="N120" s="339">
        <f t="shared" ca="1" si="12"/>
        <v>41284.323380902781</v>
      </c>
      <c r="O120" s="340" t="e">
        <f t="shared" si="13"/>
        <v>#VALUE!</v>
      </c>
      <c r="P120" s="340" t="e">
        <f t="shared" si="14"/>
        <v>#VALUE!</v>
      </c>
      <c r="Q120" s="340" t="e">
        <f t="shared" si="15"/>
        <v>#VALUE!</v>
      </c>
      <c r="R120" s="340">
        <f t="shared" ca="1" si="16"/>
        <v>2013</v>
      </c>
      <c r="S120" s="340">
        <f t="shared" ca="1" si="17"/>
        <v>1</v>
      </c>
      <c r="T120" s="340">
        <f t="shared" ca="1" si="18"/>
        <v>10</v>
      </c>
      <c r="U120" s="357" t="str">
        <f t="shared" si="19"/>
        <v>-</v>
      </c>
    </row>
    <row r="121" spans="1:21" x14ac:dyDescent="0.2">
      <c r="A121" s="77" t="s">
        <v>136</v>
      </c>
      <c r="B121" s="176" t="s">
        <v>136</v>
      </c>
      <c r="C121" s="177" t="s">
        <v>136</v>
      </c>
      <c r="D121" s="178">
        <v>0</v>
      </c>
      <c r="E121" s="178">
        <v>0</v>
      </c>
      <c r="F121" s="179">
        <v>0</v>
      </c>
      <c r="G121" s="77">
        <v>0</v>
      </c>
      <c r="H121" s="78">
        <f t="shared" si="20"/>
        <v>0</v>
      </c>
      <c r="I121" s="78">
        <f t="shared" si="21"/>
        <v>0</v>
      </c>
      <c r="J121" s="77">
        <v>0</v>
      </c>
      <c r="K121" s="77">
        <v>0</v>
      </c>
      <c r="L121" s="78">
        <f t="shared" si="22"/>
        <v>0</v>
      </c>
      <c r="M121" s="174">
        <f t="shared" si="23"/>
        <v>0</v>
      </c>
      <c r="N121" s="339">
        <f t="shared" ca="1" si="12"/>
        <v>41284.323380902781</v>
      </c>
      <c r="O121" s="340" t="e">
        <f t="shared" si="13"/>
        <v>#VALUE!</v>
      </c>
      <c r="P121" s="340" t="e">
        <f t="shared" si="14"/>
        <v>#VALUE!</v>
      </c>
      <c r="Q121" s="340" t="e">
        <f t="shared" si="15"/>
        <v>#VALUE!</v>
      </c>
      <c r="R121" s="340">
        <f t="shared" ca="1" si="16"/>
        <v>2013</v>
      </c>
      <c r="S121" s="340">
        <f t="shared" ca="1" si="17"/>
        <v>1</v>
      </c>
      <c r="T121" s="340">
        <f t="shared" ca="1" si="18"/>
        <v>10</v>
      </c>
      <c r="U121" s="357" t="str">
        <f t="shared" si="19"/>
        <v>-</v>
      </c>
    </row>
    <row r="122" spans="1:21" x14ac:dyDescent="0.2">
      <c r="A122" s="77" t="s">
        <v>136</v>
      </c>
      <c r="B122" s="176" t="s">
        <v>136</v>
      </c>
      <c r="C122" s="177" t="s">
        <v>136</v>
      </c>
      <c r="D122" s="178">
        <v>0</v>
      </c>
      <c r="E122" s="178">
        <v>0</v>
      </c>
      <c r="F122" s="179">
        <v>0</v>
      </c>
      <c r="G122" s="77">
        <v>0</v>
      </c>
      <c r="H122" s="78">
        <f t="shared" si="20"/>
        <v>0</v>
      </c>
      <c r="I122" s="78">
        <f t="shared" si="21"/>
        <v>0</v>
      </c>
      <c r="J122" s="77">
        <v>0</v>
      </c>
      <c r="K122" s="77">
        <v>0</v>
      </c>
      <c r="L122" s="78">
        <f t="shared" si="22"/>
        <v>0</v>
      </c>
      <c r="M122" s="174">
        <f t="shared" si="23"/>
        <v>0</v>
      </c>
      <c r="N122" s="339">
        <f t="shared" ca="1" si="12"/>
        <v>41284.323380902781</v>
      </c>
      <c r="O122" s="340" t="e">
        <f t="shared" si="13"/>
        <v>#VALUE!</v>
      </c>
      <c r="P122" s="340" t="e">
        <f t="shared" si="14"/>
        <v>#VALUE!</v>
      </c>
      <c r="Q122" s="340" t="e">
        <f t="shared" si="15"/>
        <v>#VALUE!</v>
      </c>
      <c r="R122" s="340">
        <f t="shared" ca="1" si="16"/>
        <v>2013</v>
      </c>
      <c r="S122" s="340">
        <f t="shared" ca="1" si="17"/>
        <v>1</v>
      </c>
      <c r="T122" s="340">
        <f t="shared" ca="1" si="18"/>
        <v>10</v>
      </c>
      <c r="U122" s="357" t="str">
        <f t="shared" si="19"/>
        <v>-</v>
      </c>
    </row>
    <row r="123" spans="1:21" x14ac:dyDescent="0.2">
      <c r="A123" s="77" t="s">
        <v>136</v>
      </c>
      <c r="B123" s="176" t="s">
        <v>136</v>
      </c>
      <c r="C123" s="177" t="s">
        <v>136</v>
      </c>
      <c r="D123" s="178">
        <v>0</v>
      </c>
      <c r="E123" s="178">
        <v>0</v>
      </c>
      <c r="F123" s="179">
        <v>0</v>
      </c>
      <c r="G123" s="77">
        <v>0</v>
      </c>
      <c r="H123" s="78">
        <f t="shared" si="20"/>
        <v>0</v>
      </c>
      <c r="I123" s="78">
        <f t="shared" si="21"/>
        <v>0</v>
      </c>
      <c r="J123" s="77">
        <v>0</v>
      </c>
      <c r="K123" s="77">
        <v>0</v>
      </c>
      <c r="L123" s="78">
        <f t="shared" si="22"/>
        <v>0</v>
      </c>
      <c r="M123" s="174">
        <f t="shared" si="23"/>
        <v>0</v>
      </c>
      <c r="N123" s="339">
        <f t="shared" ca="1" si="12"/>
        <v>41284.323380902781</v>
      </c>
      <c r="O123" s="340" t="e">
        <f t="shared" si="13"/>
        <v>#VALUE!</v>
      </c>
      <c r="P123" s="340" t="e">
        <f t="shared" si="14"/>
        <v>#VALUE!</v>
      </c>
      <c r="Q123" s="340" t="e">
        <f t="shared" si="15"/>
        <v>#VALUE!</v>
      </c>
      <c r="R123" s="340">
        <f t="shared" ca="1" si="16"/>
        <v>2013</v>
      </c>
      <c r="S123" s="340">
        <f t="shared" ca="1" si="17"/>
        <v>1</v>
      </c>
      <c r="T123" s="340">
        <f t="shared" ca="1" si="18"/>
        <v>10</v>
      </c>
      <c r="U123" s="357" t="str">
        <f t="shared" si="19"/>
        <v>-</v>
      </c>
    </row>
    <row r="124" spans="1:21" x14ac:dyDescent="0.2">
      <c r="A124" s="77" t="s">
        <v>136</v>
      </c>
      <c r="B124" s="176" t="s">
        <v>136</v>
      </c>
      <c r="C124" s="177" t="s">
        <v>136</v>
      </c>
      <c r="D124" s="178">
        <v>0</v>
      </c>
      <c r="E124" s="178">
        <v>0</v>
      </c>
      <c r="F124" s="179">
        <v>0</v>
      </c>
      <c r="G124" s="77">
        <v>0</v>
      </c>
      <c r="H124" s="78">
        <f t="shared" si="20"/>
        <v>0</v>
      </c>
      <c r="I124" s="78">
        <f t="shared" si="21"/>
        <v>0</v>
      </c>
      <c r="J124" s="77">
        <v>0</v>
      </c>
      <c r="K124" s="77">
        <v>0</v>
      </c>
      <c r="L124" s="78">
        <f t="shared" si="22"/>
        <v>0</v>
      </c>
      <c r="M124" s="174">
        <f t="shared" si="23"/>
        <v>0</v>
      </c>
      <c r="N124" s="339">
        <f t="shared" ca="1" si="12"/>
        <v>41284.323380902781</v>
      </c>
      <c r="O124" s="340" t="e">
        <f t="shared" si="13"/>
        <v>#VALUE!</v>
      </c>
      <c r="P124" s="340" t="e">
        <f t="shared" si="14"/>
        <v>#VALUE!</v>
      </c>
      <c r="Q124" s="340" t="e">
        <f t="shared" si="15"/>
        <v>#VALUE!</v>
      </c>
      <c r="R124" s="340">
        <f t="shared" ca="1" si="16"/>
        <v>2013</v>
      </c>
      <c r="S124" s="340">
        <f t="shared" ca="1" si="17"/>
        <v>1</v>
      </c>
      <c r="T124" s="340">
        <f t="shared" ca="1" si="18"/>
        <v>10</v>
      </c>
      <c r="U124" s="357" t="str">
        <f t="shared" si="19"/>
        <v>-</v>
      </c>
    </row>
    <row r="125" spans="1:21" x14ac:dyDescent="0.2">
      <c r="A125" s="77" t="s">
        <v>136</v>
      </c>
      <c r="B125" s="176" t="s">
        <v>136</v>
      </c>
      <c r="C125" s="177" t="s">
        <v>136</v>
      </c>
      <c r="D125" s="178">
        <v>0</v>
      </c>
      <c r="E125" s="178">
        <v>0</v>
      </c>
      <c r="F125" s="179">
        <v>0</v>
      </c>
      <c r="G125" s="77">
        <v>0</v>
      </c>
      <c r="H125" s="78">
        <f t="shared" si="20"/>
        <v>0</v>
      </c>
      <c r="I125" s="78">
        <f t="shared" si="21"/>
        <v>0</v>
      </c>
      <c r="J125" s="77">
        <v>0</v>
      </c>
      <c r="K125" s="77">
        <v>0</v>
      </c>
      <c r="L125" s="78">
        <f t="shared" si="22"/>
        <v>0</v>
      </c>
      <c r="M125" s="174">
        <f t="shared" si="23"/>
        <v>0</v>
      </c>
      <c r="N125" s="339">
        <f t="shared" ca="1" si="12"/>
        <v>41284.323380902781</v>
      </c>
      <c r="O125" s="340" t="e">
        <f t="shared" si="13"/>
        <v>#VALUE!</v>
      </c>
      <c r="P125" s="340" t="e">
        <f t="shared" si="14"/>
        <v>#VALUE!</v>
      </c>
      <c r="Q125" s="340" t="e">
        <f t="shared" si="15"/>
        <v>#VALUE!</v>
      </c>
      <c r="R125" s="340">
        <f t="shared" ca="1" si="16"/>
        <v>2013</v>
      </c>
      <c r="S125" s="340">
        <f t="shared" ca="1" si="17"/>
        <v>1</v>
      </c>
      <c r="T125" s="340">
        <f t="shared" ca="1" si="18"/>
        <v>10</v>
      </c>
      <c r="U125" s="357" t="str">
        <f t="shared" si="19"/>
        <v>-</v>
      </c>
    </row>
    <row r="126" spans="1:21" x14ac:dyDescent="0.2">
      <c r="A126" s="77" t="s">
        <v>136</v>
      </c>
      <c r="B126" s="176" t="s">
        <v>136</v>
      </c>
      <c r="C126" s="177" t="s">
        <v>136</v>
      </c>
      <c r="D126" s="178">
        <v>0</v>
      </c>
      <c r="E126" s="178">
        <v>0</v>
      </c>
      <c r="F126" s="179">
        <v>0</v>
      </c>
      <c r="G126" s="77">
        <v>0</v>
      </c>
      <c r="H126" s="78">
        <f t="shared" si="20"/>
        <v>0</v>
      </c>
      <c r="I126" s="78">
        <f t="shared" si="21"/>
        <v>0</v>
      </c>
      <c r="J126" s="77">
        <v>0</v>
      </c>
      <c r="K126" s="77">
        <v>0</v>
      </c>
      <c r="L126" s="78">
        <f t="shared" si="22"/>
        <v>0</v>
      </c>
      <c r="M126" s="174">
        <f t="shared" si="23"/>
        <v>0</v>
      </c>
      <c r="N126" s="339">
        <f t="shared" ca="1" si="12"/>
        <v>41284.323380902781</v>
      </c>
      <c r="O126" s="340" t="e">
        <f t="shared" si="13"/>
        <v>#VALUE!</v>
      </c>
      <c r="P126" s="340" t="e">
        <f t="shared" si="14"/>
        <v>#VALUE!</v>
      </c>
      <c r="Q126" s="340" t="e">
        <f t="shared" si="15"/>
        <v>#VALUE!</v>
      </c>
      <c r="R126" s="340">
        <f t="shared" ca="1" si="16"/>
        <v>2013</v>
      </c>
      <c r="S126" s="340">
        <f t="shared" ca="1" si="17"/>
        <v>1</v>
      </c>
      <c r="T126" s="340">
        <f t="shared" ca="1" si="18"/>
        <v>10</v>
      </c>
      <c r="U126" s="357" t="str">
        <f t="shared" si="19"/>
        <v>-</v>
      </c>
    </row>
    <row r="127" spans="1:21" x14ac:dyDescent="0.2">
      <c r="A127" s="77" t="s">
        <v>136</v>
      </c>
      <c r="B127" s="176" t="s">
        <v>136</v>
      </c>
      <c r="C127" s="177" t="s">
        <v>136</v>
      </c>
      <c r="D127" s="178">
        <v>0</v>
      </c>
      <c r="E127" s="178">
        <v>0</v>
      </c>
      <c r="F127" s="179">
        <v>0</v>
      </c>
      <c r="G127" s="77">
        <v>0</v>
      </c>
      <c r="H127" s="78">
        <f t="shared" si="20"/>
        <v>0</v>
      </c>
      <c r="I127" s="78">
        <f t="shared" si="21"/>
        <v>0</v>
      </c>
      <c r="J127" s="77">
        <v>0</v>
      </c>
      <c r="K127" s="77">
        <v>0</v>
      </c>
      <c r="L127" s="78">
        <f t="shared" si="22"/>
        <v>0</v>
      </c>
      <c r="M127" s="174">
        <f t="shared" si="23"/>
        <v>0</v>
      </c>
      <c r="N127" s="339">
        <f t="shared" ca="1" si="12"/>
        <v>41284.323380902781</v>
      </c>
      <c r="O127" s="340" t="e">
        <f t="shared" si="13"/>
        <v>#VALUE!</v>
      </c>
      <c r="P127" s="340" t="e">
        <f t="shared" si="14"/>
        <v>#VALUE!</v>
      </c>
      <c r="Q127" s="340" t="e">
        <f t="shared" si="15"/>
        <v>#VALUE!</v>
      </c>
      <c r="R127" s="340">
        <f t="shared" ca="1" si="16"/>
        <v>2013</v>
      </c>
      <c r="S127" s="340">
        <f t="shared" ca="1" si="17"/>
        <v>1</v>
      </c>
      <c r="T127" s="340">
        <f t="shared" ca="1" si="18"/>
        <v>10</v>
      </c>
      <c r="U127" s="357" t="str">
        <f t="shared" si="19"/>
        <v>-</v>
      </c>
    </row>
    <row r="128" spans="1:21" x14ac:dyDescent="0.2">
      <c r="A128" s="77" t="s">
        <v>136</v>
      </c>
      <c r="B128" s="176" t="s">
        <v>136</v>
      </c>
      <c r="C128" s="177" t="s">
        <v>136</v>
      </c>
      <c r="D128" s="178">
        <v>0</v>
      </c>
      <c r="E128" s="178">
        <v>0</v>
      </c>
      <c r="F128" s="179">
        <v>0</v>
      </c>
      <c r="G128" s="77">
        <v>0</v>
      </c>
      <c r="H128" s="78">
        <f t="shared" si="20"/>
        <v>0</v>
      </c>
      <c r="I128" s="78">
        <f t="shared" si="21"/>
        <v>0</v>
      </c>
      <c r="J128" s="77">
        <v>0</v>
      </c>
      <c r="K128" s="77">
        <v>0</v>
      </c>
      <c r="L128" s="78">
        <f t="shared" si="22"/>
        <v>0</v>
      </c>
      <c r="M128" s="174">
        <f t="shared" si="23"/>
        <v>0</v>
      </c>
      <c r="N128" s="339">
        <f t="shared" ca="1" si="12"/>
        <v>41284.323380902781</v>
      </c>
      <c r="O128" s="340" t="e">
        <f t="shared" si="13"/>
        <v>#VALUE!</v>
      </c>
      <c r="P128" s="340" t="e">
        <f t="shared" si="14"/>
        <v>#VALUE!</v>
      </c>
      <c r="Q128" s="340" t="e">
        <f t="shared" si="15"/>
        <v>#VALUE!</v>
      </c>
      <c r="R128" s="340">
        <f t="shared" ca="1" si="16"/>
        <v>2013</v>
      </c>
      <c r="S128" s="340">
        <f t="shared" ca="1" si="17"/>
        <v>1</v>
      </c>
      <c r="T128" s="340">
        <f t="shared" ca="1" si="18"/>
        <v>10</v>
      </c>
      <c r="U128" s="357" t="str">
        <f t="shared" si="19"/>
        <v>-</v>
      </c>
    </row>
    <row r="129" spans="1:21" x14ac:dyDescent="0.2">
      <c r="A129" s="77" t="s">
        <v>136</v>
      </c>
      <c r="B129" s="176" t="s">
        <v>136</v>
      </c>
      <c r="C129" s="177" t="s">
        <v>136</v>
      </c>
      <c r="D129" s="178">
        <v>0</v>
      </c>
      <c r="E129" s="178">
        <v>0</v>
      </c>
      <c r="F129" s="179">
        <v>0</v>
      </c>
      <c r="G129" s="77">
        <v>0</v>
      </c>
      <c r="H129" s="78">
        <f t="shared" si="20"/>
        <v>0</v>
      </c>
      <c r="I129" s="78">
        <f t="shared" si="21"/>
        <v>0</v>
      </c>
      <c r="J129" s="77">
        <v>0</v>
      </c>
      <c r="K129" s="77">
        <v>0</v>
      </c>
      <c r="L129" s="78">
        <f t="shared" si="22"/>
        <v>0</v>
      </c>
      <c r="M129" s="174">
        <f t="shared" si="23"/>
        <v>0</v>
      </c>
      <c r="N129" s="339">
        <f t="shared" ca="1" si="12"/>
        <v>41284.323380902781</v>
      </c>
      <c r="O129" s="340" t="e">
        <f t="shared" si="13"/>
        <v>#VALUE!</v>
      </c>
      <c r="P129" s="340" t="e">
        <f t="shared" si="14"/>
        <v>#VALUE!</v>
      </c>
      <c r="Q129" s="340" t="e">
        <f t="shared" si="15"/>
        <v>#VALUE!</v>
      </c>
      <c r="R129" s="340">
        <f t="shared" ca="1" si="16"/>
        <v>2013</v>
      </c>
      <c r="S129" s="340">
        <f t="shared" ca="1" si="17"/>
        <v>1</v>
      </c>
      <c r="T129" s="340">
        <f t="shared" ca="1" si="18"/>
        <v>10</v>
      </c>
      <c r="U129" s="357" t="str">
        <f t="shared" si="19"/>
        <v>-</v>
      </c>
    </row>
    <row r="130" spans="1:21" x14ac:dyDescent="0.2">
      <c r="A130" s="77" t="s">
        <v>136</v>
      </c>
      <c r="B130" s="176" t="s">
        <v>136</v>
      </c>
      <c r="C130" s="177" t="s">
        <v>136</v>
      </c>
      <c r="D130" s="178">
        <v>0</v>
      </c>
      <c r="E130" s="178">
        <v>0</v>
      </c>
      <c r="F130" s="179">
        <v>0</v>
      </c>
      <c r="G130" s="77">
        <v>0</v>
      </c>
      <c r="H130" s="78">
        <f t="shared" si="20"/>
        <v>0</v>
      </c>
      <c r="I130" s="78">
        <f t="shared" si="21"/>
        <v>0</v>
      </c>
      <c r="J130" s="77">
        <v>0</v>
      </c>
      <c r="K130" s="77">
        <v>0</v>
      </c>
      <c r="L130" s="78">
        <f t="shared" si="22"/>
        <v>0</v>
      </c>
      <c r="M130" s="174">
        <f t="shared" si="23"/>
        <v>0</v>
      </c>
      <c r="N130" s="339">
        <f t="shared" ca="1" si="12"/>
        <v>41284.323380902781</v>
      </c>
      <c r="O130" s="340" t="e">
        <f t="shared" si="13"/>
        <v>#VALUE!</v>
      </c>
      <c r="P130" s="340" t="e">
        <f t="shared" si="14"/>
        <v>#VALUE!</v>
      </c>
      <c r="Q130" s="340" t="e">
        <f t="shared" si="15"/>
        <v>#VALUE!</v>
      </c>
      <c r="R130" s="340">
        <f t="shared" ca="1" si="16"/>
        <v>2013</v>
      </c>
      <c r="S130" s="340">
        <f t="shared" ca="1" si="17"/>
        <v>1</v>
      </c>
      <c r="T130" s="340">
        <f t="shared" ca="1" si="18"/>
        <v>10</v>
      </c>
      <c r="U130" s="357" t="str">
        <f t="shared" si="19"/>
        <v>-</v>
      </c>
    </row>
    <row r="131" spans="1:21" x14ac:dyDescent="0.2">
      <c r="A131" s="77" t="s">
        <v>136</v>
      </c>
      <c r="B131" s="176" t="s">
        <v>136</v>
      </c>
      <c r="C131" s="177" t="s">
        <v>136</v>
      </c>
      <c r="D131" s="178">
        <v>0</v>
      </c>
      <c r="E131" s="178">
        <v>0</v>
      </c>
      <c r="F131" s="179">
        <v>0</v>
      </c>
      <c r="G131" s="77">
        <v>0</v>
      </c>
      <c r="H131" s="78">
        <f t="shared" si="20"/>
        <v>0</v>
      </c>
      <c r="I131" s="78">
        <f t="shared" si="21"/>
        <v>0</v>
      </c>
      <c r="J131" s="77">
        <v>0</v>
      </c>
      <c r="K131" s="77">
        <v>0</v>
      </c>
      <c r="L131" s="78">
        <f t="shared" si="22"/>
        <v>0</v>
      </c>
      <c r="M131" s="174">
        <f t="shared" si="23"/>
        <v>0</v>
      </c>
      <c r="N131" s="339">
        <f t="shared" ca="1" si="12"/>
        <v>41284.323380902781</v>
      </c>
      <c r="O131" s="340" t="e">
        <f t="shared" si="13"/>
        <v>#VALUE!</v>
      </c>
      <c r="P131" s="340" t="e">
        <f t="shared" si="14"/>
        <v>#VALUE!</v>
      </c>
      <c r="Q131" s="340" t="e">
        <f t="shared" si="15"/>
        <v>#VALUE!</v>
      </c>
      <c r="R131" s="340">
        <f t="shared" ca="1" si="16"/>
        <v>2013</v>
      </c>
      <c r="S131" s="340">
        <f t="shared" ca="1" si="17"/>
        <v>1</v>
      </c>
      <c r="T131" s="340">
        <f t="shared" ca="1" si="18"/>
        <v>10</v>
      </c>
      <c r="U131" s="357" t="str">
        <f t="shared" si="19"/>
        <v>-</v>
      </c>
    </row>
    <row r="132" spans="1:21" x14ac:dyDescent="0.2">
      <c r="A132" s="77" t="s">
        <v>136</v>
      </c>
      <c r="B132" s="176" t="s">
        <v>136</v>
      </c>
      <c r="C132" s="177" t="s">
        <v>136</v>
      </c>
      <c r="D132" s="178">
        <v>0</v>
      </c>
      <c r="E132" s="178">
        <v>0</v>
      </c>
      <c r="F132" s="179">
        <v>0</v>
      </c>
      <c r="G132" s="77">
        <v>0</v>
      </c>
      <c r="H132" s="78">
        <f t="shared" si="20"/>
        <v>0</v>
      </c>
      <c r="I132" s="78">
        <f t="shared" si="21"/>
        <v>0</v>
      </c>
      <c r="J132" s="77">
        <v>0</v>
      </c>
      <c r="K132" s="77">
        <v>0</v>
      </c>
      <c r="L132" s="78">
        <f t="shared" si="22"/>
        <v>0</v>
      </c>
      <c r="M132" s="174">
        <f t="shared" si="23"/>
        <v>0</v>
      </c>
      <c r="N132" s="339">
        <f t="shared" ca="1" si="12"/>
        <v>41284.323380902781</v>
      </c>
      <c r="O132" s="340" t="e">
        <f t="shared" si="13"/>
        <v>#VALUE!</v>
      </c>
      <c r="P132" s="340" t="e">
        <f t="shared" si="14"/>
        <v>#VALUE!</v>
      </c>
      <c r="Q132" s="340" t="e">
        <f t="shared" si="15"/>
        <v>#VALUE!</v>
      </c>
      <c r="R132" s="340">
        <f t="shared" ca="1" si="16"/>
        <v>2013</v>
      </c>
      <c r="S132" s="340">
        <f t="shared" ca="1" si="17"/>
        <v>1</v>
      </c>
      <c r="T132" s="340">
        <f t="shared" ca="1" si="18"/>
        <v>10</v>
      </c>
      <c r="U132" s="357" t="str">
        <f t="shared" si="19"/>
        <v>-</v>
      </c>
    </row>
    <row r="133" spans="1:21" x14ac:dyDescent="0.2">
      <c r="A133" s="77" t="s">
        <v>136</v>
      </c>
      <c r="B133" s="176" t="s">
        <v>136</v>
      </c>
      <c r="C133" s="177" t="s">
        <v>136</v>
      </c>
      <c r="D133" s="178">
        <v>0</v>
      </c>
      <c r="E133" s="178">
        <v>0</v>
      </c>
      <c r="F133" s="179">
        <v>0</v>
      </c>
      <c r="G133" s="77">
        <v>0</v>
      </c>
      <c r="H133" s="78">
        <f t="shared" si="20"/>
        <v>0</v>
      </c>
      <c r="I133" s="78">
        <f t="shared" si="21"/>
        <v>0</v>
      </c>
      <c r="J133" s="77">
        <v>0</v>
      </c>
      <c r="K133" s="77">
        <v>0</v>
      </c>
      <c r="L133" s="78">
        <f t="shared" si="22"/>
        <v>0</v>
      </c>
      <c r="M133" s="174">
        <f t="shared" si="23"/>
        <v>0</v>
      </c>
      <c r="N133" s="339">
        <f t="shared" ca="1" si="12"/>
        <v>41284.323380902781</v>
      </c>
      <c r="O133" s="340" t="e">
        <f t="shared" si="13"/>
        <v>#VALUE!</v>
      </c>
      <c r="P133" s="340" t="e">
        <f t="shared" si="14"/>
        <v>#VALUE!</v>
      </c>
      <c r="Q133" s="340" t="e">
        <f t="shared" si="15"/>
        <v>#VALUE!</v>
      </c>
      <c r="R133" s="340">
        <f t="shared" ca="1" si="16"/>
        <v>2013</v>
      </c>
      <c r="S133" s="340">
        <f t="shared" ca="1" si="17"/>
        <v>1</v>
      </c>
      <c r="T133" s="340">
        <f t="shared" ca="1" si="18"/>
        <v>10</v>
      </c>
      <c r="U133" s="357" t="str">
        <f t="shared" si="19"/>
        <v>-</v>
      </c>
    </row>
    <row r="134" spans="1:21" x14ac:dyDescent="0.2">
      <c r="A134" s="77" t="s">
        <v>136</v>
      </c>
      <c r="B134" s="176" t="s">
        <v>136</v>
      </c>
      <c r="C134" s="177" t="s">
        <v>136</v>
      </c>
      <c r="D134" s="178">
        <v>0</v>
      </c>
      <c r="E134" s="178">
        <v>0</v>
      </c>
      <c r="F134" s="179">
        <v>0</v>
      </c>
      <c r="G134" s="77">
        <v>0</v>
      </c>
      <c r="H134" s="78">
        <f t="shared" si="20"/>
        <v>0</v>
      </c>
      <c r="I134" s="78">
        <f t="shared" si="21"/>
        <v>0</v>
      </c>
      <c r="J134" s="77">
        <v>0</v>
      </c>
      <c r="K134" s="77">
        <v>0</v>
      </c>
      <c r="L134" s="78">
        <f t="shared" si="22"/>
        <v>0</v>
      </c>
      <c r="M134" s="174">
        <f t="shared" si="23"/>
        <v>0</v>
      </c>
      <c r="N134" s="339">
        <f t="shared" ca="1" si="12"/>
        <v>41284.323380902781</v>
      </c>
      <c r="O134" s="340" t="e">
        <f t="shared" si="13"/>
        <v>#VALUE!</v>
      </c>
      <c r="P134" s="340" t="e">
        <f t="shared" si="14"/>
        <v>#VALUE!</v>
      </c>
      <c r="Q134" s="340" t="e">
        <f t="shared" si="15"/>
        <v>#VALUE!</v>
      </c>
      <c r="R134" s="340">
        <f t="shared" ca="1" si="16"/>
        <v>2013</v>
      </c>
      <c r="S134" s="340">
        <f t="shared" ca="1" si="17"/>
        <v>1</v>
      </c>
      <c r="T134" s="340">
        <f t="shared" ca="1" si="18"/>
        <v>10</v>
      </c>
      <c r="U134" s="357" t="str">
        <f t="shared" si="19"/>
        <v>-</v>
      </c>
    </row>
    <row r="135" spans="1:21" x14ac:dyDescent="0.2">
      <c r="A135" s="77" t="s">
        <v>136</v>
      </c>
      <c r="B135" s="176" t="s">
        <v>136</v>
      </c>
      <c r="C135" s="177" t="s">
        <v>136</v>
      </c>
      <c r="D135" s="178">
        <v>0</v>
      </c>
      <c r="E135" s="178">
        <v>0</v>
      </c>
      <c r="F135" s="179">
        <v>0</v>
      </c>
      <c r="G135" s="77">
        <v>0</v>
      </c>
      <c r="H135" s="78">
        <f t="shared" si="20"/>
        <v>0</v>
      </c>
      <c r="I135" s="78">
        <f t="shared" si="21"/>
        <v>0</v>
      </c>
      <c r="J135" s="77">
        <v>0</v>
      </c>
      <c r="K135" s="77">
        <v>0</v>
      </c>
      <c r="L135" s="78">
        <f t="shared" si="22"/>
        <v>0</v>
      </c>
      <c r="M135" s="174">
        <f t="shared" si="23"/>
        <v>0</v>
      </c>
      <c r="N135" s="339">
        <f t="shared" ca="1" si="12"/>
        <v>41284.323380902781</v>
      </c>
      <c r="O135" s="340" t="e">
        <f t="shared" si="13"/>
        <v>#VALUE!</v>
      </c>
      <c r="P135" s="340" t="e">
        <f t="shared" si="14"/>
        <v>#VALUE!</v>
      </c>
      <c r="Q135" s="340" t="e">
        <f t="shared" si="15"/>
        <v>#VALUE!</v>
      </c>
      <c r="R135" s="340">
        <f t="shared" ca="1" si="16"/>
        <v>2013</v>
      </c>
      <c r="S135" s="340">
        <f t="shared" ca="1" si="17"/>
        <v>1</v>
      </c>
      <c r="T135" s="340">
        <f t="shared" ca="1" si="18"/>
        <v>10</v>
      </c>
      <c r="U135" s="357" t="str">
        <f t="shared" si="19"/>
        <v>-</v>
      </c>
    </row>
    <row r="136" spans="1:21" x14ac:dyDescent="0.2">
      <c r="A136" s="77" t="s">
        <v>136</v>
      </c>
      <c r="B136" s="176" t="s">
        <v>136</v>
      </c>
      <c r="C136" s="177" t="s">
        <v>136</v>
      </c>
      <c r="D136" s="178">
        <v>0</v>
      </c>
      <c r="E136" s="178">
        <v>0</v>
      </c>
      <c r="F136" s="179">
        <v>0</v>
      </c>
      <c r="G136" s="77">
        <v>0</v>
      </c>
      <c r="H136" s="78">
        <f t="shared" si="20"/>
        <v>0</v>
      </c>
      <c r="I136" s="78">
        <f t="shared" si="21"/>
        <v>0</v>
      </c>
      <c r="J136" s="77">
        <v>0</v>
      </c>
      <c r="K136" s="77">
        <v>0</v>
      </c>
      <c r="L136" s="78">
        <f t="shared" si="22"/>
        <v>0</v>
      </c>
      <c r="M136" s="174">
        <f t="shared" si="23"/>
        <v>0</v>
      </c>
      <c r="N136" s="339">
        <f t="shared" ca="1" si="12"/>
        <v>41284.323380902781</v>
      </c>
      <c r="O136" s="340" t="e">
        <f t="shared" si="13"/>
        <v>#VALUE!</v>
      </c>
      <c r="P136" s="340" t="e">
        <f t="shared" si="14"/>
        <v>#VALUE!</v>
      </c>
      <c r="Q136" s="340" t="e">
        <f t="shared" si="15"/>
        <v>#VALUE!</v>
      </c>
      <c r="R136" s="340">
        <f t="shared" ca="1" si="16"/>
        <v>2013</v>
      </c>
      <c r="S136" s="340">
        <f t="shared" ca="1" si="17"/>
        <v>1</v>
      </c>
      <c r="T136" s="340">
        <f t="shared" ca="1" si="18"/>
        <v>10</v>
      </c>
      <c r="U136" s="357" t="str">
        <f t="shared" si="19"/>
        <v>-</v>
      </c>
    </row>
    <row r="137" spans="1:21" x14ac:dyDescent="0.2">
      <c r="A137" s="77" t="s">
        <v>136</v>
      </c>
      <c r="B137" s="176" t="s">
        <v>136</v>
      </c>
      <c r="C137" s="177" t="s">
        <v>136</v>
      </c>
      <c r="D137" s="178">
        <v>0</v>
      </c>
      <c r="E137" s="178">
        <v>0</v>
      </c>
      <c r="F137" s="179">
        <v>0</v>
      </c>
      <c r="G137" s="77">
        <v>0</v>
      </c>
      <c r="H137" s="78">
        <f t="shared" si="20"/>
        <v>0</v>
      </c>
      <c r="I137" s="78">
        <f t="shared" si="21"/>
        <v>0</v>
      </c>
      <c r="J137" s="77">
        <v>0</v>
      </c>
      <c r="K137" s="77">
        <v>0</v>
      </c>
      <c r="L137" s="78">
        <f t="shared" si="22"/>
        <v>0</v>
      </c>
      <c r="M137" s="174">
        <f t="shared" si="23"/>
        <v>0</v>
      </c>
      <c r="N137" s="339">
        <f t="shared" ref="N137:N200" ca="1" si="24">NOW()</f>
        <v>41284.323380902781</v>
      </c>
      <c r="O137" s="340" t="e">
        <f t="shared" ref="O137:O200" si="25">YEAR(C137)</f>
        <v>#VALUE!</v>
      </c>
      <c r="P137" s="340" t="e">
        <f t="shared" ref="P137:P200" si="26">DAY(C137)</f>
        <v>#VALUE!</v>
      </c>
      <c r="Q137" s="340" t="e">
        <f t="shared" ref="Q137:Q200" si="27">MONTH(C137)</f>
        <v>#VALUE!</v>
      </c>
      <c r="R137" s="340">
        <f t="shared" ref="R137:R200" ca="1" si="28">YEAR(N137)</f>
        <v>2013</v>
      </c>
      <c r="S137" s="340">
        <f t="shared" ref="S137:S200" ca="1" si="29">MONTH(N137)</f>
        <v>1</v>
      </c>
      <c r="T137" s="340">
        <f t="shared" ref="T137:T200" ca="1" si="30">DAY(N137)</f>
        <v>10</v>
      </c>
      <c r="U137" s="357" t="str">
        <f t="shared" ref="U137:U200" si="31">IF(C137="-","-",RIGHT("00"&amp;P137,2)&amp;"/"&amp;RIGHT("00"&amp;Q137,2)&amp;"/"&amp;R137)</f>
        <v>-</v>
      </c>
    </row>
    <row r="138" spans="1:21" x14ac:dyDescent="0.2">
      <c r="A138" s="77" t="s">
        <v>136</v>
      </c>
      <c r="B138" s="176" t="s">
        <v>136</v>
      </c>
      <c r="C138" s="177" t="s">
        <v>136</v>
      </c>
      <c r="D138" s="178">
        <v>0</v>
      </c>
      <c r="E138" s="178">
        <v>0</v>
      </c>
      <c r="F138" s="179">
        <v>0</v>
      </c>
      <c r="G138" s="77">
        <v>0</v>
      </c>
      <c r="H138" s="78">
        <f t="shared" si="20"/>
        <v>0</v>
      </c>
      <c r="I138" s="78">
        <f t="shared" si="21"/>
        <v>0</v>
      </c>
      <c r="J138" s="77">
        <v>0</v>
      </c>
      <c r="K138" s="77">
        <v>0</v>
      </c>
      <c r="L138" s="78">
        <f t="shared" si="22"/>
        <v>0</v>
      </c>
      <c r="M138" s="174">
        <f t="shared" si="23"/>
        <v>0</v>
      </c>
      <c r="N138" s="339">
        <f t="shared" ca="1" si="24"/>
        <v>41284.323380902781</v>
      </c>
      <c r="O138" s="340" t="e">
        <f t="shared" si="25"/>
        <v>#VALUE!</v>
      </c>
      <c r="P138" s="340" t="e">
        <f t="shared" si="26"/>
        <v>#VALUE!</v>
      </c>
      <c r="Q138" s="340" t="e">
        <f t="shared" si="27"/>
        <v>#VALUE!</v>
      </c>
      <c r="R138" s="340">
        <f t="shared" ca="1" si="28"/>
        <v>2013</v>
      </c>
      <c r="S138" s="340">
        <f t="shared" ca="1" si="29"/>
        <v>1</v>
      </c>
      <c r="T138" s="340">
        <f t="shared" ca="1" si="30"/>
        <v>10</v>
      </c>
      <c r="U138" s="357" t="str">
        <f t="shared" si="31"/>
        <v>-</v>
      </c>
    </row>
    <row r="139" spans="1:21" x14ac:dyDescent="0.2">
      <c r="A139" s="77" t="s">
        <v>136</v>
      </c>
      <c r="B139" s="176" t="s">
        <v>136</v>
      </c>
      <c r="C139" s="177" t="s">
        <v>136</v>
      </c>
      <c r="D139" s="178">
        <v>0</v>
      </c>
      <c r="E139" s="178">
        <v>0</v>
      </c>
      <c r="F139" s="179">
        <v>0</v>
      </c>
      <c r="G139" s="77">
        <v>0</v>
      </c>
      <c r="H139" s="78">
        <f t="shared" si="20"/>
        <v>0</v>
      </c>
      <c r="I139" s="78">
        <f t="shared" si="21"/>
        <v>0</v>
      </c>
      <c r="J139" s="77">
        <v>0</v>
      </c>
      <c r="K139" s="77">
        <v>0</v>
      </c>
      <c r="L139" s="78">
        <f t="shared" si="22"/>
        <v>0</v>
      </c>
      <c r="M139" s="174">
        <f t="shared" si="23"/>
        <v>0</v>
      </c>
      <c r="N139" s="339">
        <f t="shared" ca="1" si="24"/>
        <v>41284.323380902781</v>
      </c>
      <c r="O139" s="340" t="e">
        <f t="shared" si="25"/>
        <v>#VALUE!</v>
      </c>
      <c r="P139" s="340" t="e">
        <f t="shared" si="26"/>
        <v>#VALUE!</v>
      </c>
      <c r="Q139" s="340" t="e">
        <f t="shared" si="27"/>
        <v>#VALUE!</v>
      </c>
      <c r="R139" s="340">
        <f t="shared" ca="1" si="28"/>
        <v>2013</v>
      </c>
      <c r="S139" s="340">
        <f t="shared" ca="1" si="29"/>
        <v>1</v>
      </c>
      <c r="T139" s="340">
        <f t="shared" ca="1" si="30"/>
        <v>10</v>
      </c>
      <c r="U139" s="357" t="str">
        <f t="shared" si="31"/>
        <v>-</v>
      </c>
    </row>
    <row r="140" spans="1:21" x14ac:dyDescent="0.2">
      <c r="A140" s="77" t="s">
        <v>136</v>
      </c>
      <c r="B140" s="176" t="s">
        <v>136</v>
      </c>
      <c r="C140" s="177" t="s">
        <v>136</v>
      </c>
      <c r="D140" s="178">
        <v>0</v>
      </c>
      <c r="E140" s="178">
        <v>0</v>
      </c>
      <c r="F140" s="179">
        <v>0</v>
      </c>
      <c r="G140" s="77">
        <v>0</v>
      </c>
      <c r="H140" s="78">
        <f t="shared" si="20"/>
        <v>0</v>
      </c>
      <c r="I140" s="78">
        <f t="shared" si="21"/>
        <v>0</v>
      </c>
      <c r="J140" s="77">
        <v>0</v>
      </c>
      <c r="K140" s="77">
        <v>0</v>
      </c>
      <c r="L140" s="78">
        <f t="shared" si="22"/>
        <v>0</v>
      </c>
      <c r="M140" s="174">
        <f t="shared" si="23"/>
        <v>0</v>
      </c>
      <c r="N140" s="339">
        <f t="shared" ca="1" si="24"/>
        <v>41284.323380902781</v>
      </c>
      <c r="O140" s="340" t="e">
        <f t="shared" si="25"/>
        <v>#VALUE!</v>
      </c>
      <c r="P140" s="340" t="e">
        <f t="shared" si="26"/>
        <v>#VALUE!</v>
      </c>
      <c r="Q140" s="340" t="e">
        <f t="shared" si="27"/>
        <v>#VALUE!</v>
      </c>
      <c r="R140" s="340">
        <f t="shared" ca="1" si="28"/>
        <v>2013</v>
      </c>
      <c r="S140" s="340">
        <f t="shared" ca="1" si="29"/>
        <v>1</v>
      </c>
      <c r="T140" s="340">
        <f t="shared" ca="1" si="30"/>
        <v>10</v>
      </c>
      <c r="U140" s="357" t="str">
        <f t="shared" si="31"/>
        <v>-</v>
      </c>
    </row>
    <row r="141" spans="1:21" x14ac:dyDescent="0.2">
      <c r="A141" s="77" t="s">
        <v>136</v>
      </c>
      <c r="B141" s="176" t="s">
        <v>136</v>
      </c>
      <c r="C141" s="177" t="s">
        <v>136</v>
      </c>
      <c r="D141" s="178">
        <v>0</v>
      </c>
      <c r="E141" s="178">
        <v>0</v>
      </c>
      <c r="F141" s="179">
        <v>0</v>
      </c>
      <c r="G141" s="77">
        <v>0</v>
      </c>
      <c r="H141" s="78">
        <f t="shared" ref="H141:H204" si="32">ROUND((G141*E141)/365,2)</f>
        <v>0</v>
      </c>
      <c r="I141" s="78">
        <f t="shared" ref="I141:I204" si="33">ROUND(((G141*D141)*F141)/365,2)</f>
        <v>0</v>
      </c>
      <c r="J141" s="77">
        <v>0</v>
      </c>
      <c r="K141" s="77">
        <v>0</v>
      </c>
      <c r="L141" s="78">
        <f t="shared" ref="L141:L204" si="34">SUM(G141:K141)</f>
        <v>0</v>
      </c>
      <c r="M141" s="174">
        <f t="shared" ref="M141:M204" si="35">IF(G141=0,0,ROUND(L141/G141,4))</f>
        <v>0</v>
      </c>
      <c r="N141" s="339">
        <f t="shared" ca="1" si="24"/>
        <v>41284.323380902781</v>
      </c>
      <c r="O141" s="340" t="e">
        <f t="shared" si="25"/>
        <v>#VALUE!</v>
      </c>
      <c r="P141" s="340" t="e">
        <f t="shared" si="26"/>
        <v>#VALUE!</v>
      </c>
      <c r="Q141" s="340" t="e">
        <f t="shared" si="27"/>
        <v>#VALUE!</v>
      </c>
      <c r="R141" s="340">
        <f t="shared" ca="1" si="28"/>
        <v>2013</v>
      </c>
      <c r="S141" s="340">
        <f t="shared" ca="1" si="29"/>
        <v>1</v>
      </c>
      <c r="T141" s="340">
        <f t="shared" ca="1" si="30"/>
        <v>10</v>
      </c>
      <c r="U141" s="357" t="str">
        <f t="shared" si="31"/>
        <v>-</v>
      </c>
    </row>
    <row r="142" spans="1:21" x14ac:dyDescent="0.2">
      <c r="A142" s="77" t="s">
        <v>136</v>
      </c>
      <c r="B142" s="176" t="s">
        <v>136</v>
      </c>
      <c r="C142" s="177" t="s">
        <v>136</v>
      </c>
      <c r="D142" s="178">
        <v>0</v>
      </c>
      <c r="E142" s="178">
        <v>0</v>
      </c>
      <c r="F142" s="179">
        <v>0</v>
      </c>
      <c r="G142" s="77">
        <v>0</v>
      </c>
      <c r="H142" s="78">
        <f t="shared" si="32"/>
        <v>0</v>
      </c>
      <c r="I142" s="78">
        <f t="shared" si="33"/>
        <v>0</v>
      </c>
      <c r="J142" s="77">
        <v>0</v>
      </c>
      <c r="K142" s="77">
        <v>0</v>
      </c>
      <c r="L142" s="78">
        <f t="shared" si="34"/>
        <v>0</v>
      </c>
      <c r="M142" s="174">
        <f t="shared" si="35"/>
        <v>0</v>
      </c>
      <c r="N142" s="339">
        <f t="shared" ca="1" si="24"/>
        <v>41284.323380902781</v>
      </c>
      <c r="O142" s="340" t="e">
        <f t="shared" si="25"/>
        <v>#VALUE!</v>
      </c>
      <c r="P142" s="340" t="e">
        <f t="shared" si="26"/>
        <v>#VALUE!</v>
      </c>
      <c r="Q142" s="340" t="e">
        <f t="shared" si="27"/>
        <v>#VALUE!</v>
      </c>
      <c r="R142" s="340">
        <f t="shared" ca="1" si="28"/>
        <v>2013</v>
      </c>
      <c r="S142" s="340">
        <f t="shared" ca="1" si="29"/>
        <v>1</v>
      </c>
      <c r="T142" s="340">
        <f t="shared" ca="1" si="30"/>
        <v>10</v>
      </c>
      <c r="U142" s="357" t="str">
        <f t="shared" si="31"/>
        <v>-</v>
      </c>
    </row>
    <row r="143" spans="1:21" x14ac:dyDescent="0.2">
      <c r="A143" s="77" t="s">
        <v>136</v>
      </c>
      <c r="B143" s="176" t="s">
        <v>136</v>
      </c>
      <c r="C143" s="177" t="s">
        <v>136</v>
      </c>
      <c r="D143" s="178">
        <v>0</v>
      </c>
      <c r="E143" s="178">
        <v>0</v>
      </c>
      <c r="F143" s="179">
        <v>0</v>
      </c>
      <c r="G143" s="77">
        <v>0</v>
      </c>
      <c r="H143" s="78">
        <f t="shared" si="32"/>
        <v>0</v>
      </c>
      <c r="I143" s="78">
        <f t="shared" si="33"/>
        <v>0</v>
      </c>
      <c r="J143" s="77">
        <v>0</v>
      </c>
      <c r="K143" s="77">
        <v>0</v>
      </c>
      <c r="L143" s="78">
        <f t="shared" si="34"/>
        <v>0</v>
      </c>
      <c r="M143" s="174">
        <f t="shared" si="35"/>
        <v>0</v>
      </c>
      <c r="N143" s="339">
        <f t="shared" ca="1" si="24"/>
        <v>41284.323380902781</v>
      </c>
      <c r="O143" s="340" t="e">
        <f t="shared" si="25"/>
        <v>#VALUE!</v>
      </c>
      <c r="P143" s="340" t="e">
        <f t="shared" si="26"/>
        <v>#VALUE!</v>
      </c>
      <c r="Q143" s="340" t="e">
        <f t="shared" si="27"/>
        <v>#VALUE!</v>
      </c>
      <c r="R143" s="340">
        <f t="shared" ca="1" si="28"/>
        <v>2013</v>
      </c>
      <c r="S143" s="340">
        <f t="shared" ca="1" si="29"/>
        <v>1</v>
      </c>
      <c r="T143" s="340">
        <f t="shared" ca="1" si="30"/>
        <v>10</v>
      </c>
      <c r="U143" s="357" t="str">
        <f t="shared" si="31"/>
        <v>-</v>
      </c>
    </row>
    <row r="144" spans="1:21" x14ac:dyDescent="0.2">
      <c r="A144" s="77" t="s">
        <v>136</v>
      </c>
      <c r="B144" s="176" t="s">
        <v>136</v>
      </c>
      <c r="C144" s="177" t="s">
        <v>136</v>
      </c>
      <c r="D144" s="178">
        <v>0</v>
      </c>
      <c r="E144" s="178">
        <v>0</v>
      </c>
      <c r="F144" s="179">
        <v>0</v>
      </c>
      <c r="G144" s="77">
        <v>0</v>
      </c>
      <c r="H144" s="78">
        <f t="shared" si="32"/>
        <v>0</v>
      </c>
      <c r="I144" s="78">
        <f t="shared" si="33"/>
        <v>0</v>
      </c>
      <c r="J144" s="77">
        <v>0</v>
      </c>
      <c r="K144" s="77">
        <v>0</v>
      </c>
      <c r="L144" s="78">
        <f t="shared" si="34"/>
        <v>0</v>
      </c>
      <c r="M144" s="174">
        <f t="shared" si="35"/>
        <v>0</v>
      </c>
      <c r="N144" s="339">
        <f t="shared" ca="1" si="24"/>
        <v>41284.323380902781</v>
      </c>
      <c r="O144" s="340" t="e">
        <f t="shared" si="25"/>
        <v>#VALUE!</v>
      </c>
      <c r="P144" s="340" t="e">
        <f t="shared" si="26"/>
        <v>#VALUE!</v>
      </c>
      <c r="Q144" s="340" t="e">
        <f t="shared" si="27"/>
        <v>#VALUE!</v>
      </c>
      <c r="R144" s="340">
        <f t="shared" ca="1" si="28"/>
        <v>2013</v>
      </c>
      <c r="S144" s="340">
        <f t="shared" ca="1" si="29"/>
        <v>1</v>
      </c>
      <c r="T144" s="340">
        <f t="shared" ca="1" si="30"/>
        <v>10</v>
      </c>
      <c r="U144" s="357" t="str">
        <f t="shared" si="31"/>
        <v>-</v>
      </c>
    </row>
    <row r="145" spans="1:21" x14ac:dyDescent="0.2">
      <c r="A145" s="77" t="s">
        <v>136</v>
      </c>
      <c r="B145" s="176" t="s">
        <v>136</v>
      </c>
      <c r="C145" s="177" t="s">
        <v>136</v>
      </c>
      <c r="D145" s="178">
        <v>0</v>
      </c>
      <c r="E145" s="178">
        <v>0</v>
      </c>
      <c r="F145" s="179">
        <v>0</v>
      </c>
      <c r="G145" s="77">
        <v>0</v>
      </c>
      <c r="H145" s="78">
        <f t="shared" si="32"/>
        <v>0</v>
      </c>
      <c r="I145" s="78">
        <f t="shared" si="33"/>
        <v>0</v>
      </c>
      <c r="J145" s="77">
        <v>0</v>
      </c>
      <c r="K145" s="77">
        <v>0</v>
      </c>
      <c r="L145" s="78">
        <f t="shared" si="34"/>
        <v>0</v>
      </c>
      <c r="M145" s="174">
        <f t="shared" si="35"/>
        <v>0</v>
      </c>
      <c r="N145" s="339">
        <f t="shared" ca="1" si="24"/>
        <v>41284.323380902781</v>
      </c>
      <c r="O145" s="340" t="e">
        <f t="shared" si="25"/>
        <v>#VALUE!</v>
      </c>
      <c r="P145" s="340" t="e">
        <f t="shared" si="26"/>
        <v>#VALUE!</v>
      </c>
      <c r="Q145" s="340" t="e">
        <f t="shared" si="27"/>
        <v>#VALUE!</v>
      </c>
      <c r="R145" s="340">
        <f t="shared" ca="1" si="28"/>
        <v>2013</v>
      </c>
      <c r="S145" s="340">
        <f t="shared" ca="1" si="29"/>
        <v>1</v>
      </c>
      <c r="T145" s="340">
        <f t="shared" ca="1" si="30"/>
        <v>10</v>
      </c>
      <c r="U145" s="357" t="str">
        <f t="shared" si="31"/>
        <v>-</v>
      </c>
    </row>
    <row r="146" spans="1:21" x14ac:dyDescent="0.2">
      <c r="A146" s="77" t="s">
        <v>136</v>
      </c>
      <c r="B146" s="176" t="s">
        <v>136</v>
      </c>
      <c r="C146" s="177" t="s">
        <v>136</v>
      </c>
      <c r="D146" s="178">
        <v>0</v>
      </c>
      <c r="E146" s="178">
        <v>0</v>
      </c>
      <c r="F146" s="179">
        <v>0</v>
      </c>
      <c r="G146" s="77">
        <v>0</v>
      </c>
      <c r="H146" s="78">
        <f t="shared" si="32"/>
        <v>0</v>
      </c>
      <c r="I146" s="78">
        <f t="shared" si="33"/>
        <v>0</v>
      </c>
      <c r="J146" s="77">
        <v>0</v>
      </c>
      <c r="K146" s="77">
        <v>0</v>
      </c>
      <c r="L146" s="78">
        <f t="shared" si="34"/>
        <v>0</v>
      </c>
      <c r="M146" s="174">
        <f t="shared" si="35"/>
        <v>0</v>
      </c>
      <c r="N146" s="339">
        <f t="shared" ca="1" si="24"/>
        <v>41284.323380902781</v>
      </c>
      <c r="O146" s="340" t="e">
        <f t="shared" si="25"/>
        <v>#VALUE!</v>
      </c>
      <c r="P146" s="340" t="e">
        <f t="shared" si="26"/>
        <v>#VALUE!</v>
      </c>
      <c r="Q146" s="340" t="e">
        <f t="shared" si="27"/>
        <v>#VALUE!</v>
      </c>
      <c r="R146" s="340">
        <f t="shared" ca="1" si="28"/>
        <v>2013</v>
      </c>
      <c r="S146" s="340">
        <f t="shared" ca="1" si="29"/>
        <v>1</v>
      </c>
      <c r="T146" s="340">
        <f t="shared" ca="1" si="30"/>
        <v>10</v>
      </c>
      <c r="U146" s="357" t="str">
        <f t="shared" si="31"/>
        <v>-</v>
      </c>
    </row>
    <row r="147" spans="1:21" x14ac:dyDescent="0.2">
      <c r="A147" s="77" t="s">
        <v>136</v>
      </c>
      <c r="B147" s="176" t="s">
        <v>136</v>
      </c>
      <c r="C147" s="177" t="s">
        <v>136</v>
      </c>
      <c r="D147" s="178">
        <v>0</v>
      </c>
      <c r="E147" s="178">
        <v>0</v>
      </c>
      <c r="F147" s="179">
        <v>0</v>
      </c>
      <c r="G147" s="77">
        <v>0</v>
      </c>
      <c r="H147" s="78">
        <f t="shared" si="32"/>
        <v>0</v>
      </c>
      <c r="I147" s="78">
        <f t="shared" si="33"/>
        <v>0</v>
      </c>
      <c r="J147" s="77">
        <v>0</v>
      </c>
      <c r="K147" s="77">
        <v>0</v>
      </c>
      <c r="L147" s="78">
        <f t="shared" si="34"/>
        <v>0</v>
      </c>
      <c r="M147" s="174">
        <f t="shared" si="35"/>
        <v>0</v>
      </c>
      <c r="N147" s="339">
        <f t="shared" ca="1" si="24"/>
        <v>41284.323380902781</v>
      </c>
      <c r="O147" s="340" t="e">
        <f t="shared" si="25"/>
        <v>#VALUE!</v>
      </c>
      <c r="P147" s="340" t="e">
        <f t="shared" si="26"/>
        <v>#VALUE!</v>
      </c>
      <c r="Q147" s="340" t="e">
        <f t="shared" si="27"/>
        <v>#VALUE!</v>
      </c>
      <c r="R147" s="340">
        <f t="shared" ca="1" si="28"/>
        <v>2013</v>
      </c>
      <c r="S147" s="340">
        <f t="shared" ca="1" si="29"/>
        <v>1</v>
      </c>
      <c r="T147" s="340">
        <f t="shared" ca="1" si="30"/>
        <v>10</v>
      </c>
      <c r="U147" s="357" t="str">
        <f t="shared" si="31"/>
        <v>-</v>
      </c>
    </row>
    <row r="148" spans="1:21" x14ac:dyDescent="0.2">
      <c r="A148" s="77" t="s">
        <v>136</v>
      </c>
      <c r="B148" s="176" t="s">
        <v>136</v>
      </c>
      <c r="C148" s="177" t="s">
        <v>136</v>
      </c>
      <c r="D148" s="178">
        <v>0</v>
      </c>
      <c r="E148" s="178">
        <v>0</v>
      </c>
      <c r="F148" s="179">
        <v>0</v>
      </c>
      <c r="G148" s="77">
        <v>0</v>
      </c>
      <c r="H148" s="78">
        <f t="shared" si="32"/>
        <v>0</v>
      </c>
      <c r="I148" s="78">
        <f t="shared" si="33"/>
        <v>0</v>
      </c>
      <c r="J148" s="77">
        <v>0</v>
      </c>
      <c r="K148" s="77">
        <v>0</v>
      </c>
      <c r="L148" s="78">
        <f t="shared" si="34"/>
        <v>0</v>
      </c>
      <c r="M148" s="174">
        <f t="shared" si="35"/>
        <v>0</v>
      </c>
      <c r="N148" s="339">
        <f t="shared" ca="1" si="24"/>
        <v>41284.323380902781</v>
      </c>
      <c r="O148" s="340" t="e">
        <f t="shared" si="25"/>
        <v>#VALUE!</v>
      </c>
      <c r="P148" s="340" t="e">
        <f t="shared" si="26"/>
        <v>#VALUE!</v>
      </c>
      <c r="Q148" s="340" t="e">
        <f t="shared" si="27"/>
        <v>#VALUE!</v>
      </c>
      <c r="R148" s="340">
        <f t="shared" ca="1" si="28"/>
        <v>2013</v>
      </c>
      <c r="S148" s="340">
        <f t="shared" ca="1" si="29"/>
        <v>1</v>
      </c>
      <c r="T148" s="340">
        <f t="shared" ca="1" si="30"/>
        <v>10</v>
      </c>
      <c r="U148" s="357" t="str">
        <f t="shared" si="31"/>
        <v>-</v>
      </c>
    </row>
    <row r="149" spans="1:21" x14ac:dyDescent="0.2">
      <c r="A149" s="77" t="s">
        <v>136</v>
      </c>
      <c r="B149" s="176" t="s">
        <v>136</v>
      </c>
      <c r="C149" s="177" t="s">
        <v>136</v>
      </c>
      <c r="D149" s="178">
        <v>0</v>
      </c>
      <c r="E149" s="178">
        <v>0</v>
      </c>
      <c r="F149" s="179">
        <v>0</v>
      </c>
      <c r="G149" s="77">
        <v>0</v>
      </c>
      <c r="H149" s="78">
        <f t="shared" si="32"/>
        <v>0</v>
      </c>
      <c r="I149" s="78">
        <f t="shared" si="33"/>
        <v>0</v>
      </c>
      <c r="J149" s="77">
        <v>0</v>
      </c>
      <c r="K149" s="77">
        <v>0</v>
      </c>
      <c r="L149" s="78">
        <f t="shared" si="34"/>
        <v>0</v>
      </c>
      <c r="M149" s="174">
        <f t="shared" si="35"/>
        <v>0</v>
      </c>
      <c r="N149" s="339">
        <f t="shared" ca="1" si="24"/>
        <v>41284.323380902781</v>
      </c>
      <c r="O149" s="340" t="e">
        <f t="shared" si="25"/>
        <v>#VALUE!</v>
      </c>
      <c r="P149" s="340" t="e">
        <f t="shared" si="26"/>
        <v>#VALUE!</v>
      </c>
      <c r="Q149" s="340" t="e">
        <f t="shared" si="27"/>
        <v>#VALUE!</v>
      </c>
      <c r="R149" s="340">
        <f t="shared" ca="1" si="28"/>
        <v>2013</v>
      </c>
      <c r="S149" s="340">
        <f t="shared" ca="1" si="29"/>
        <v>1</v>
      </c>
      <c r="T149" s="340">
        <f t="shared" ca="1" si="30"/>
        <v>10</v>
      </c>
      <c r="U149" s="357" t="str">
        <f t="shared" si="31"/>
        <v>-</v>
      </c>
    </row>
    <row r="150" spans="1:21" x14ac:dyDescent="0.2">
      <c r="A150" s="77" t="s">
        <v>136</v>
      </c>
      <c r="B150" s="176" t="s">
        <v>136</v>
      </c>
      <c r="C150" s="177" t="s">
        <v>136</v>
      </c>
      <c r="D150" s="178">
        <v>0</v>
      </c>
      <c r="E150" s="178">
        <v>0</v>
      </c>
      <c r="F150" s="179">
        <v>0</v>
      </c>
      <c r="G150" s="77">
        <v>0</v>
      </c>
      <c r="H150" s="78">
        <f t="shared" si="32"/>
        <v>0</v>
      </c>
      <c r="I150" s="78">
        <f t="shared" si="33"/>
        <v>0</v>
      </c>
      <c r="J150" s="77">
        <v>0</v>
      </c>
      <c r="K150" s="77">
        <v>0</v>
      </c>
      <c r="L150" s="78">
        <f t="shared" si="34"/>
        <v>0</v>
      </c>
      <c r="M150" s="174">
        <f t="shared" si="35"/>
        <v>0</v>
      </c>
      <c r="N150" s="339">
        <f t="shared" ca="1" si="24"/>
        <v>41284.323380902781</v>
      </c>
      <c r="O150" s="340" t="e">
        <f t="shared" si="25"/>
        <v>#VALUE!</v>
      </c>
      <c r="P150" s="340" t="e">
        <f t="shared" si="26"/>
        <v>#VALUE!</v>
      </c>
      <c r="Q150" s="340" t="e">
        <f t="shared" si="27"/>
        <v>#VALUE!</v>
      </c>
      <c r="R150" s="340">
        <f t="shared" ca="1" si="28"/>
        <v>2013</v>
      </c>
      <c r="S150" s="340">
        <f t="shared" ca="1" si="29"/>
        <v>1</v>
      </c>
      <c r="T150" s="340">
        <f t="shared" ca="1" si="30"/>
        <v>10</v>
      </c>
      <c r="U150" s="357" t="str">
        <f t="shared" si="31"/>
        <v>-</v>
      </c>
    </row>
    <row r="151" spans="1:21" x14ac:dyDescent="0.2">
      <c r="A151" s="77" t="s">
        <v>136</v>
      </c>
      <c r="B151" s="176" t="s">
        <v>136</v>
      </c>
      <c r="C151" s="177" t="s">
        <v>136</v>
      </c>
      <c r="D151" s="178">
        <v>0</v>
      </c>
      <c r="E151" s="178">
        <v>0</v>
      </c>
      <c r="F151" s="179">
        <v>0</v>
      </c>
      <c r="G151" s="77">
        <v>0</v>
      </c>
      <c r="H151" s="78">
        <f t="shared" si="32"/>
        <v>0</v>
      </c>
      <c r="I151" s="78">
        <f t="shared" si="33"/>
        <v>0</v>
      </c>
      <c r="J151" s="77">
        <v>0</v>
      </c>
      <c r="K151" s="77">
        <v>0</v>
      </c>
      <c r="L151" s="78">
        <f t="shared" si="34"/>
        <v>0</v>
      </c>
      <c r="M151" s="174">
        <f t="shared" si="35"/>
        <v>0</v>
      </c>
      <c r="N151" s="339">
        <f t="shared" ca="1" si="24"/>
        <v>41284.323380902781</v>
      </c>
      <c r="O151" s="340" t="e">
        <f t="shared" si="25"/>
        <v>#VALUE!</v>
      </c>
      <c r="P151" s="340" t="e">
        <f t="shared" si="26"/>
        <v>#VALUE!</v>
      </c>
      <c r="Q151" s="340" t="e">
        <f t="shared" si="27"/>
        <v>#VALUE!</v>
      </c>
      <c r="R151" s="340">
        <f t="shared" ca="1" si="28"/>
        <v>2013</v>
      </c>
      <c r="S151" s="340">
        <f t="shared" ca="1" si="29"/>
        <v>1</v>
      </c>
      <c r="T151" s="340">
        <f t="shared" ca="1" si="30"/>
        <v>10</v>
      </c>
      <c r="U151" s="357" t="str">
        <f t="shared" si="31"/>
        <v>-</v>
      </c>
    </row>
    <row r="152" spans="1:21" x14ac:dyDescent="0.2">
      <c r="A152" s="77" t="s">
        <v>136</v>
      </c>
      <c r="B152" s="176" t="s">
        <v>136</v>
      </c>
      <c r="C152" s="177" t="s">
        <v>136</v>
      </c>
      <c r="D152" s="178">
        <v>0</v>
      </c>
      <c r="E152" s="178">
        <v>0</v>
      </c>
      <c r="F152" s="179">
        <v>0</v>
      </c>
      <c r="G152" s="77">
        <v>0</v>
      </c>
      <c r="H152" s="78">
        <f t="shared" si="32"/>
        <v>0</v>
      </c>
      <c r="I152" s="78">
        <f t="shared" si="33"/>
        <v>0</v>
      </c>
      <c r="J152" s="77">
        <v>0</v>
      </c>
      <c r="K152" s="77">
        <v>0</v>
      </c>
      <c r="L152" s="78">
        <f t="shared" si="34"/>
        <v>0</v>
      </c>
      <c r="M152" s="174">
        <f t="shared" si="35"/>
        <v>0</v>
      </c>
      <c r="N152" s="339">
        <f t="shared" ca="1" si="24"/>
        <v>41284.323380902781</v>
      </c>
      <c r="O152" s="340" t="e">
        <f t="shared" si="25"/>
        <v>#VALUE!</v>
      </c>
      <c r="P152" s="340" t="e">
        <f t="shared" si="26"/>
        <v>#VALUE!</v>
      </c>
      <c r="Q152" s="340" t="e">
        <f t="shared" si="27"/>
        <v>#VALUE!</v>
      </c>
      <c r="R152" s="340">
        <f t="shared" ca="1" si="28"/>
        <v>2013</v>
      </c>
      <c r="S152" s="340">
        <f t="shared" ca="1" si="29"/>
        <v>1</v>
      </c>
      <c r="T152" s="340">
        <f t="shared" ca="1" si="30"/>
        <v>10</v>
      </c>
      <c r="U152" s="357" t="str">
        <f t="shared" si="31"/>
        <v>-</v>
      </c>
    </row>
    <row r="153" spans="1:21" x14ac:dyDescent="0.2">
      <c r="A153" s="77" t="s">
        <v>136</v>
      </c>
      <c r="B153" s="176" t="s">
        <v>136</v>
      </c>
      <c r="C153" s="177" t="s">
        <v>136</v>
      </c>
      <c r="D153" s="178">
        <v>0</v>
      </c>
      <c r="E153" s="178">
        <v>0</v>
      </c>
      <c r="F153" s="179">
        <v>0</v>
      </c>
      <c r="G153" s="77">
        <v>0</v>
      </c>
      <c r="H153" s="78">
        <f t="shared" si="32"/>
        <v>0</v>
      </c>
      <c r="I153" s="78">
        <f t="shared" si="33"/>
        <v>0</v>
      </c>
      <c r="J153" s="77">
        <v>0</v>
      </c>
      <c r="K153" s="77">
        <v>0</v>
      </c>
      <c r="L153" s="78">
        <f t="shared" si="34"/>
        <v>0</v>
      </c>
      <c r="M153" s="174">
        <f t="shared" si="35"/>
        <v>0</v>
      </c>
      <c r="N153" s="339">
        <f t="shared" ca="1" si="24"/>
        <v>41284.323380902781</v>
      </c>
      <c r="O153" s="340" t="e">
        <f t="shared" si="25"/>
        <v>#VALUE!</v>
      </c>
      <c r="P153" s="340" t="e">
        <f t="shared" si="26"/>
        <v>#VALUE!</v>
      </c>
      <c r="Q153" s="340" t="e">
        <f t="shared" si="27"/>
        <v>#VALUE!</v>
      </c>
      <c r="R153" s="340">
        <f t="shared" ca="1" si="28"/>
        <v>2013</v>
      </c>
      <c r="S153" s="340">
        <f t="shared" ca="1" si="29"/>
        <v>1</v>
      </c>
      <c r="T153" s="340">
        <f t="shared" ca="1" si="30"/>
        <v>10</v>
      </c>
      <c r="U153" s="357" t="str">
        <f t="shared" si="31"/>
        <v>-</v>
      </c>
    </row>
    <row r="154" spans="1:21" x14ac:dyDescent="0.2">
      <c r="A154" s="77" t="s">
        <v>136</v>
      </c>
      <c r="B154" s="176" t="s">
        <v>136</v>
      </c>
      <c r="C154" s="177" t="s">
        <v>136</v>
      </c>
      <c r="D154" s="178">
        <v>0</v>
      </c>
      <c r="E154" s="178">
        <v>0</v>
      </c>
      <c r="F154" s="179">
        <v>0</v>
      </c>
      <c r="G154" s="77">
        <v>0</v>
      </c>
      <c r="H154" s="78">
        <f t="shared" si="32"/>
        <v>0</v>
      </c>
      <c r="I154" s="78">
        <f t="shared" si="33"/>
        <v>0</v>
      </c>
      <c r="J154" s="77">
        <v>0</v>
      </c>
      <c r="K154" s="77">
        <v>0</v>
      </c>
      <c r="L154" s="78">
        <f t="shared" si="34"/>
        <v>0</v>
      </c>
      <c r="M154" s="174">
        <f t="shared" si="35"/>
        <v>0</v>
      </c>
      <c r="N154" s="339">
        <f t="shared" ca="1" si="24"/>
        <v>41284.323380902781</v>
      </c>
      <c r="O154" s="340" t="e">
        <f t="shared" si="25"/>
        <v>#VALUE!</v>
      </c>
      <c r="P154" s="340" t="e">
        <f t="shared" si="26"/>
        <v>#VALUE!</v>
      </c>
      <c r="Q154" s="340" t="e">
        <f t="shared" si="27"/>
        <v>#VALUE!</v>
      </c>
      <c r="R154" s="340">
        <f t="shared" ca="1" si="28"/>
        <v>2013</v>
      </c>
      <c r="S154" s="340">
        <f t="shared" ca="1" si="29"/>
        <v>1</v>
      </c>
      <c r="T154" s="340">
        <f t="shared" ca="1" si="30"/>
        <v>10</v>
      </c>
      <c r="U154" s="357" t="str">
        <f t="shared" si="31"/>
        <v>-</v>
      </c>
    </row>
    <row r="155" spans="1:21" x14ac:dyDescent="0.2">
      <c r="A155" s="77" t="s">
        <v>136</v>
      </c>
      <c r="B155" s="176" t="s">
        <v>136</v>
      </c>
      <c r="C155" s="177" t="s">
        <v>136</v>
      </c>
      <c r="D155" s="178">
        <v>0</v>
      </c>
      <c r="E155" s="178">
        <v>0</v>
      </c>
      <c r="F155" s="179">
        <v>0</v>
      </c>
      <c r="G155" s="77">
        <v>0</v>
      </c>
      <c r="H155" s="78">
        <f t="shared" si="32"/>
        <v>0</v>
      </c>
      <c r="I155" s="78">
        <f t="shared" si="33"/>
        <v>0</v>
      </c>
      <c r="J155" s="77">
        <v>0</v>
      </c>
      <c r="K155" s="77">
        <v>0</v>
      </c>
      <c r="L155" s="78">
        <f t="shared" si="34"/>
        <v>0</v>
      </c>
      <c r="M155" s="174">
        <f t="shared" si="35"/>
        <v>0</v>
      </c>
      <c r="N155" s="339">
        <f t="shared" ca="1" si="24"/>
        <v>41284.323380902781</v>
      </c>
      <c r="O155" s="340" t="e">
        <f t="shared" si="25"/>
        <v>#VALUE!</v>
      </c>
      <c r="P155" s="340" t="e">
        <f t="shared" si="26"/>
        <v>#VALUE!</v>
      </c>
      <c r="Q155" s="340" t="e">
        <f t="shared" si="27"/>
        <v>#VALUE!</v>
      </c>
      <c r="R155" s="340">
        <f t="shared" ca="1" si="28"/>
        <v>2013</v>
      </c>
      <c r="S155" s="340">
        <f t="shared" ca="1" si="29"/>
        <v>1</v>
      </c>
      <c r="T155" s="340">
        <f t="shared" ca="1" si="30"/>
        <v>10</v>
      </c>
      <c r="U155" s="357" t="str">
        <f t="shared" si="31"/>
        <v>-</v>
      </c>
    </row>
    <row r="156" spans="1:21" x14ac:dyDescent="0.2">
      <c r="A156" s="77" t="s">
        <v>136</v>
      </c>
      <c r="B156" s="176" t="s">
        <v>136</v>
      </c>
      <c r="C156" s="177" t="s">
        <v>136</v>
      </c>
      <c r="D156" s="178">
        <v>0</v>
      </c>
      <c r="E156" s="178">
        <v>0</v>
      </c>
      <c r="F156" s="179">
        <v>0</v>
      </c>
      <c r="G156" s="77">
        <v>0</v>
      </c>
      <c r="H156" s="78">
        <f t="shared" si="32"/>
        <v>0</v>
      </c>
      <c r="I156" s="78">
        <f t="shared" si="33"/>
        <v>0</v>
      </c>
      <c r="J156" s="77">
        <v>0</v>
      </c>
      <c r="K156" s="77">
        <v>0</v>
      </c>
      <c r="L156" s="78">
        <f t="shared" si="34"/>
        <v>0</v>
      </c>
      <c r="M156" s="174">
        <f t="shared" si="35"/>
        <v>0</v>
      </c>
      <c r="N156" s="339">
        <f t="shared" ca="1" si="24"/>
        <v>41284.323380902781</v>
      </c>
      <c r="O156" s="340" t="e">
        <f t="shared" si="25"/>
        <v>#VALUE!</v>
      </c>
      <c r="P156" s="340" t="e">
        <f t="shared" si="26"/>
        <v>#VALUE!</v>
      </c>
      <c r="Q156" s="340" t="e">
        <f t="shared" si="27"/>
        <v>#VALUE!</v>
      </c>
      <c r="R156" s="340">
        <f t="shared" ca="1" si="28"/>
        <v>2013</v>
      </c>
      <c r="S156" s="340">
        <f t="shared" ca="1" si="29"/>
        <v>1</v>
      </c>
      <c r="T156" s="340">
        <f t="shared" ca="1" si="30"/>
        <v>10</v>
      </c>
      <c r="U156" s="357" t="str">
        <f t="shared" si="31"/>
        <v>-</v>
      </c>
    </row>
    <row r="157" spans="1:21" x14ac:dyDescent="0.2">
      <c r="A157" s="77" t="s">
        <v>136</v>
      </c>
      <c r="B157" s="176" t="s">
        <v>136</v>
      </c>
      <c r="C157" s="177" t="s">
        <v>136</v>
      </c>
      <c r="D157" s="178">
        <v>0</v>
      </c>
      <c r="E157" s="178">
        <v>0</v>
      </c>
      <c r="F157" s="179">
        <v>0</v>
      </c>
      <c r="G157" s="77">
        <v>0</v>
      </c>
      <c r="H157" s="78">
        <f t="shared" si="32"/>
        <v>0</v>
      </c>
      <c r="I157" s="78">
        <f t="shared" si="33"/>
        <v>0</v>
      </c>
      <c r="J157" s="77">
        <v>0</v>
      </c>
      <c r="K157" s="77">
        <v>0</v>
      </c>
      <c r="L157" s="78">
        <f t="shared" si="34"/>
        <v>0</v>
      </c>
      <c r="M157" s="174">
        <f t="shared" si="35"/>
        <v>0</v>
      </c>
      <c r="N157" s="339">
        <f t="shared" ca="1" si="24"/>
        <v>41284.323380902781</v>
      </c>
      <c r="O157" s="340" t="e">
        <f t="shared" si="25"/>
        <v>#VALUE!</v>
      </c>
      <c r="P157" s="340" t="e">
        <f t="shared" si="26"/>
        <v>#VALUE!</v>
      </c>
      <c r="Q157" s="340" t="e">
        <f t="shared" si="27"/>
        <v>#VALUE!</v>
      </c>
      <c r="R157" s="340">
        <f t="shared" ca="1" si="28"/>
        <v>2013</v>
      </c>
      <c r="S157" s="340">
        <f t="shared" ca="1" si="29"/>
        <v>1</v>
      </c>
      <c r="T157" s="340">
        <f t="shared" ca="1" si="30"/>
        <v>10</v>
      </c>
      <c r="U157" s="357" t="str">
        <f t="shared" si="31"/>
        <v>-</v>
      </c>
    </row>
    <row r="158" spans="1:21" x14ac:dyDescent="0.2">
      <c r="A158" s="77" t="s">
        <v>136</v>
      </c>
      <c r="B158" s="176" t="s">
        <v>136</v>
      </c>
      <c r="C158" s="177" t="s">
        <v>136</v>
      </c>
      <c r="D158" s="178">
        <v>0</v>
      </c>
      <c r="E158" s="178">
        <v>0</v>
      </c>
      <c r="F158" s="179">
        <v>0</v>
      </c>
      <c r="G158" s="77">
        <v>0</v>
      </c>
      <c r="H158" s="78">
        <f t="shared" si="32"/>
        <v>0</v>
      </c>
      <c r="I158" s="78">
        <f t="shared" si="33"/>
        <v>0</v>
      </c>
      <c r="J158" s="77">
        <v>0</v>
      </c>
      <c r="K158" s="77">
        <v>0</v>
      </c>
      <c r="L158" s="78">
        <f t="shared" si="34"/>
        <v>0</v>
      </c>
      <c r="M158" s="174">
        <f t="shared" si="35"/>
        <v>0</v>
      </c>
      <c r="N158" s="339">
        <f t="shared" ca="1" si="24"/>
        <v>41284.323380902781</v>
      </c>
      <c r="O158" s="340" t="e">
        <f t="shared" si="25"/>
        <v>#VALUE!</v>
      </c>
      <c r="P158" s="340" t="e">
        <f t="shared" si="26"/>
        <v>#VALUE!</v>
      </c>
      <c r="Q158" s="340" t="e">
        <f t="shared" si="27"/>
        <v>#VALUE!</v>
      </c>
      <c r="R158" s="340">
        <f t="shared" ca="1" si="28"/>
        <v>2013</v>
      </c>
      <c r="S158" s="340">
        <f t="shared" ca="1" si="29"/>
        <v>1</v>
      </c>
      <c r="T158" s="340">
        <f t="shared" ca="1" si="30"/>
        <v>10</v>
      </c>
      <c r="U158" s="357" t="str">
        <f t="shared" si="31"/>
        <v>-</v>
      </c>
    </row>
    <row r="159" spans="1:21" x14ac:dyDescent="0.2">
      <c r="A159" s="77" t="s">
        <v>136</v>
      </c>
      <c r="B159" s="176" t="s">
        <v>136</v>
      </c>
      <c r="C159" s="177" t="s">
        <v>136</v>
      </c>
      <c r="D159" s="178">
        <v>0</v>
      </c>
      <c r="E159" s="178">
        <v>0</v>
      </c>
      <c r="F159" s="179">
        <v>0</v>
      </c>
      <c r="G159" s="77">
        <v>0</v>
      </c>
      <c r="H159" s="78">
        <f t="shared" si="32"/>
        <v>0</v>
      </c>
      <c r="I159" s="78">
        <f t="shared" si="33"/>
        <v>0</v>
      </c>
      <c r="J159" s="77">
        <v>0</v>
      </c>
      <c r="K159" s="77">
        <v>0</v>
      </c>
      <c r="L159" s="78">
        <f t="shared" si="34"/>
        <v>0</v>
      </c>
      <c r="M159" s="174">
        <f t="shared" si="35"/>
        <v>0</v>
      </c>
      <c r="N159" s="339">
        <f t="shared" ca="1" si="24"/>
        <v>41284.323380902781</v>
      </c>
      <c r="O159" s="340" t="e">
        <f t="shared" si="25"/>
        <v>#VALUE!</v>
      </c>
      <c r="P159" s="340" t="e">
        <f t="shared" si="26"/>
        <v>#VALUE!</v>
      </c>
      <c r="Q159" s="340" t="e">
        <f t="shared" si="27"/>
        <v>#VALUE!</v>
      </c>
      <c r="R159" s="340">
        <f t="shared" ca="1" si="28"/>
        <v>2013</v>
      </c>
      <c r="S159" s="340">
        <f t="shared" ca="1" si="29"/>
        <v>1</v>
      </c>
      <c r="T159" s="340">
        <f t="shared" ca="1" si="30"/>
        <v>10</v>
      </c>
      <c r="U159" s="357" t="str">
        <f t="shared" si="31"/>
        <v>-</v>
      </c>
    </row>
    <row r="160" spans="1:21" x14ac:dyDescent="0.2">
      <c r="A160" s="77" t="s">
        <v>136</v>
      </c>
      <c r="B160" s="176" t="s">
        <v>136</v>
      </c>
      <c r="C160" s="177" t="s">
        <v>136</v>
      </c>
      <c r="D160" s="178">
        <v>0</v>
      </c>
      <c r="E160" s="178">
        <v>0</v>
      </c>
      <c r="F160" s="179">
        <v>0</v>
      </c>
      <c r="G160" s="77">
        <v>0</v>
      </c>
      <c r="H160" s="78">
        <f t="shared" si="32"/>
        <v>0</v>
      </c>
      <c r="I160" s="78">
        <f t="shared" si="33"/>
        <v>0</v>
      </c>
      <c r="J160" s="77">
        <v>0</v>
      </c>
      <c r="K160" s="77">
        <v>0</v>
      </c>
      <c r="L160" s="78">
        <f t="shared" si="34"/>
        <v>0</v>
      </c>
      <c r="M160" s="174">
        <f t="shared" si="35"/>
        <v>0</v>
      </c>
      <c r="N160" s="339">
        <f t="shared" ca="1" si="24"/>
        <v>41284.323380902781</v>
      </c>
      <c r="O160" s="340" t="e">
        <f t="shared" si="25"/>
        <v>#VALUE!</v>
      </c>
      <c r="P160" s="340" t="e">
        <f t="shared" si="26"/>
        <v>#VALUE!</v>
      </c>
      <c r="Q160" s="340" t="e">
        <f t="shared" si="27"/>
        <v>#VALUE!</v>
      </c>
      <c r="R160" s="340">
        <f t="shared" ca="1" si="28"/>
        <v>2013</v>
      </c>
      <c r="S160" s="340">
        <f t="shared" ca="1" si="29"/>
        <v>1</v>
      </c>
      <c r="T160" s="340">
        <f t="shared" ca="1" si="30"/>
        <v>10</v>
      </c>
      <c r="U160" s="357" t="str">
        <f t="shared" si="31"/>
        <v>-</v>
      </c>
    </row>
    <row r="161" spans="1:21" x14ac:dyDescent="0.2">
      <c r="A161" s="77" t="s">
        <v>136</v>
      </c>
      <c r="B161" s="176" t="s">
        <v>136</v>
      </c>
      <c r="C161" s="177" t="s">
        <v>136</v>
      </c>
      <c r="D161" s="178">
        <v>0</v>
      </c>
      <c r="E161" s="178">
        <v>0</v>
      </c>
      <c r="F161" s="179">
        <v>0</v>
      </c>
      <c r="G161" s="77">
        <v>0</v>
      </c>
      <c r="H161" s="78">
        <f t="shared" si="32"/>
        <v>0</v>
      </c>
      <c r="I161" s="78">
        <f t="shared" si="33"/>
        <v>0</v>
      </c>
      <c r="J161" s="77">
        <v>0</v>
      </c>
      <c r="K161" s="77">
        <v>0</v>
      </c>
      <c r="L161" s="78">
        <f t="shared" si="34"/>
        <v>0</v>
      </c>
      <c r="M161" s="174">
        <f t="shared" si="35"/>
        <v>0</v>
      </c>
      <c r="N161" s="339">
        <f t="shared" ca="1" si="24"/>
        <v>41284.323380902781</v>
      </c>
      <c r="O161" s="340" t="e">
        <f t="shared" si="25"/>
        <v>#VALUE!</v>
      </c>
      <c r="P161" s="340" t="e">
        <f t="shared" si="26"/>
        <v>#VALUE!</v>
      </c>
      <c r="Q161" s="340" t="e">
        <f t="shared" si="27"/>
        <v>#VALUE!</v>
      </c>
      <c r="R161" s="340">
        <f t="shared" ca="1" si="28"/>
        <v>2013</v>
      </c>
      <c r="S161" s="340">
        <f t="shared" ca="1" si="29"/>
        <v>1</v>
      </c>
      <c r="T161" s="340">
        <f t="shared" ca="1" si="30"/>
        <v>10</v>
      </c>
      <c r="U161" s="357" t="str">
        <f t="shared" si="31"/>
        <v>-</v>
      </c>
    </row>
    <row r="162" spans="1:21" x14ac:dyDescent="0.2">
      <c r="A162" s="77" t="s">
        <v>136</v>
      </c>
      <c r="B162" s="176" t="s">
        <v>136</v>
      </c>
      <c r="C162" s="177" t="s">
        <v>136</v>
      </c>
      <c r="D162" s="178">
        <v>0</v>
      </c>
      <c r="E162" s="178">
        <v>0</v>
      </c>
      <c r="F162" s="179">
        <v>0</v>
      </c>
      <c r="G162" s="77">
        <v>0</v>
      </c>
      <c r="H162" s="78">
        <f t="shared" si="32"/>
        <v>0</v>
      </c>
      <c r="I162" s="78">
        <f t="shared" si="33"/>
        <v>0</v>
      </c>
      <c r="J162" s="77">
        <v>0</v>
      </c>
      <c r="K162" s="77">
        <v>0</v>
      </c>
      <c r="L162" s="78">
        <f t="shared" si="34"/>
        <v>0</v>
      </c>
      <c r="M162" s="174">
        <f t="shared" si="35"/>
        <v>0</v>
      </c>
      <c r="N162" s="339">
        <f t="shared" ca="1" si="24"/>
        <v>41284.323380902781</v>
      </c>
      <c r="O162" s="340" t="e">
        <f t="shared" si="25"/>
        <v>#VALUE!</v>
      </c>
      <c r="P162" s="340" t="e">
        <f t="shared" si="26"/>
        <v>#VALUE!</v>
      </c>
      <c r="Q162" s="340" t="e">
        <f t="shared" si="27"/>
        <v>#VALUE!</v>
      </c>
      <c r="R162" s="340">
        <f t="shared" ca="1" si="28"/>
        <v>2013</v>
      </c>
      <c r="S162" s="340">
        <f t="shared" ca="1" si="29"/>
        <v>1</v>
      </c>
      <c r="T162" s="340">
        <f t="shared" ca="1" si="30"/>
        <v>10</v>
      </c>
      <c r="U162" s="357" t="str">
        <f t="shared" si="31"/>
        <v>-</v>
      </c>
    </row>
    <row r="163" spans="1:21" x14ac:dyDescent="0.2">
      <c r="A163" s="77" t="s">
        <v>136</v>
      </c>
      <c r="B163" s="176" t="s">
        <v>136</v>
      </c>
      <c r="C163" s="177" t="s">
        <v>136</v>
      </c>
      <c r="D163" s="178">
        <v>0</v>
      </c>
      <c r="E163" s="178">
        <v>0</v>
      </c>
      <c r="F163" s="179">
        <v>0</v>
      </c>
      <c r="G163" s="77">
        <v>0</v>
      </c>
      <c r="H163" s="78">
        <f t="shared" si="32"/>
        <v>0</v>
      </c>
      <c r="I163" s="78">
        <f t="shared" si="33"/>
        <v>0</v>
      </c>
      <c r="J163" s="77">
        <v>0</v>
      </c>
      <c r="K163" s="77">
        <v>0</v>
      </c>
      <c r="L163" s="78">
        <f t="shared" si="34"/>
        <v>0</v>
      </c>
      <c r="M163" s="174">
        <f t="shared" si="35"/>
        <v>0</v>
      </c>
      <c r="N163" s="339">
        <f t="shared" ca="1" si="24"/>
        <v>41284.323380902781</v>
      </c>
      <c r="O163" s="340" t="e">
        <f t="shared" si="25"/>
        <v>#VALUE!</v>
      </c>
      <c r="P163" s="340" t="e">
        <f t="shared" si="26"/>
        <v>#VALUE!</v>
      </c>
      <c r="Q163" s="340" t="e">
        <f t="shared" si="27"/>
        <v>#VALUE!</v>
      </c>
      <c r="R163" s="340">
        <f t="shared" ca="1" si="28"/>
        <v>2013</v>
      </c>
      <c r="S163" s="340">
        <f t="shared" ca="1" si="29"/>
        <v>1</v>
      </c>
      <c r="T163" s="340">
        <f t="shared" ca="1" si="30"/>
        <v>10</v>
      </c>
      <c r="U163" s="357" t="str">
        <f t="shared" si="31"/>
        <v>-</v>
      </c>
    </row>
    <row r="164" spans="1:21" x14ac:dyDescent="0.2">
      <c r="A164" s="77" t="s">
        <v>136</v>
      </c>
      <c r="B164" s="176" t="s">
        <v>136</v>
      </c>
      <c r="C164" s="177" t="s">
        <v>136</v>
      </c>
      <c r="D164" s="178">
        <v>0</v>
      </c>
      <c r="E164" s="178">
        <v>0</v>
      </c>
      <c r="F164" s="179">
        <v>0</v>
      </c>
      <c r="G164" s="77">
        <v>0</v>
      </c>
      <c r="H164" s="78">
        <f t="shared" si="32"/>
        <v>0</v>
      </c>
      <c r="I164" s="78">
        <f t="shared" si="33"/>
        <v>0</v>
      </c>
      <c r="J164" s="77">
        <v>0</v>
      </c>
      <c r="K164" s="77">
        <v>0</v>
      </c>
      <c r="L164" s="78">
        <f t="shared" si="34"/>
        <v>0</v>
      </c>
      <c r="M164" s="174">
        <f t="shared" si="35"/>
        <v>0</v>
      </c>
      <c r="N164" s="339">
        <f t="shared" ca="1" si="24"/>
        <v>41284.323380902781</v>
      </c>
      <c r="O164" s="340" t="e">
        <f t="shared" si="25"/>
        <v>#VALUE!</v>
      </c>
      <c r="P164" s="340" t="e">
        <f t="shared" si="26"/>
        <v>#VALUE!</v>
      </c>
      <c r="Q164" s="340" t="e">
        <f t="shared" si="27"/>
        <v>#VALUE!</v>
      </c>
      <c r="R164" s="340">
        <f t="shared" ca="1" si="28"/>
        <v>2013</v>
      </c>
      <c r="S164" s="340">
        <f t="shared" ca="1" si="29"/>
        <v>1</v>
      </c>
      <c r="T164" s="340">
        <f t="shared" ca="1" si="30"/>
        <v>10</v>
      </c>
      <c r="U164" s="357" t="str">
        <f t="shared" si="31"/>
        <v>-</v>
      </c>
    </row>
    <row r="165" spans="1:21" x14ac:dyDescent="0.2">
      <c r="A165" s="77" t="s">
        <v>136</v>
      </c>
      <c r="B165" s="176" t="s">
        <v>136</v>
      </c>
      <c r="C165" s="177" t="s">
        <v>136</v>
      </c>
      <c r="D165" s="178">
        <v>0</v>
      </c>
      <c r="E165" s="178">
        <v>0</v>
      </c>
      <c r="F165" s="179">
        <v>0</v>
      </c>
      <c r="G165" s="77">
        <v>0</v>
      </c>
      <c r="H165" s="78">
        <f t="shared" si="32"/>
        <v>0</v>
      </c>
      <c r="I165" s="78">
        <f t="shared" si="33"/>
        <v>0</v>
      </c>
      <c r="J165" s="77">
        <v>0</v>
      </c>
      <c r="K165" s="77">
        <v>0</v>
      </c>
      <c r="L165" s="78">
        <f t="shared" si="34"/>
        <v>0</v>
      </c>
      <c r="M165" s="174">
        <f t="shared" si="35"/>
        <v>0</v>
      </c>
      <c r="N165" s="339">
        <f t="shared" ca="1" si="24"/>
        <v>41284.323380902781</v>
      </c>
      <c r="O165" s="340" t="e">
        <f t="shared" si="25"/>
        <v>#VALUE!</v>
      </c>
      <c r="P165" s="340" t="e">
        <f t="shared" si="26"/>
        <v>#VALUE!</v>
      </c>
      <c r="Q165" s="340" t="e">
        <f t="shared" si="27"/>
        <v>#VALUE!</v>
      </c>
      <c r="R165" s="340">
        <f t="shared" ca="1" si="28"/>
        <v>2013</v>
      </c>
      <c r="S165" s="340">
        <f t="shared" ca="1" si="29"/>
        <v>1</v>
      </c>
      <c r="T165" s="340">
        <f t="shared" ca="1" si="30"/>
        <v>10</v>
      </c>
      <c r="U165" s="357" t="str">
        <f t="shared" si="31"/>
        <v>-</v>
      </c>
    </row>
    <row r="166" spans="1:21" x14ac:dyDescent="0.2">
      <c r="A166" s="77" t="s">
        <v>136</v>
      </c>
      <c r="B166" s="176" t="s">
        <v>136</v>
      </c>
      <c r="C166" s="177" t="s">
        <v>136</v>
      </c>
      <c r="D166" s="178">
        <v>0</v>
      </c>
      <c r="E166" s="178">
        <v>0</v>
      </c>
      <c r="F166" s="179">
        <v>0</v>
      </c>
      <c r="G166" s="77">
        <v>0</v>
      </c>
      <c r="H166" s="78">
        <f t="shared" si="32"/>
        <v>0</v>
      </c>
      <c r="I166" s="78">
        <f t="shared" si="33"/>
        <v>0</v>
      </c>
      <c r="J166" s="77">
        <v>0</v>
      </c>
      <c r="K166" s="77">
        <v>0</v>
      </c>
      <c r="L166" s="78">
        <f t="shared" si="34"/>
        <v>0</v>
      </c>
      <c r="M166" s="174">
        <f t="shared" si="35"/>
        <v>0</v>
      </c>
      <c r="N166" s="339">
        <f t="shared" ca="1" si="24"/>
        <v>41284.323380902781</v>
      </c>
      <c r="O166" s="340" t="e">
        <f t="shared" si="25"/>
        <v>#VALUE!</v>
      </c>
      <c r="P166" s="340" t="e">
        <f t="shared" si="26"/>
        <v>#VALUE!</v>
      </c>
      <c r="Q166" s="340" t="e">
        <f t="shared" si="27"/>
        <v>#VALUE!</v>
      </c>
      <c r="R166" s="340">
        <f t="shared" ca="1" si="28"/>
        <v>2013</v>
      </c>
      <c r="S166" s="340">
        <f t="shared" ca="1" si="29"/>
        <v>1</v>
      </c>
      <c r="T166" s="340">
        <f t="shared" ca="1" si="30"/>
        <v>10</v>
      </c>
      <c r="U166" s="357" t="str">
        <f t="shared" si="31"/>
        <v>-</v>
      </c>
    </row>
    <row r="167" spans="1:21" x14ac:dyDescent="0.2">
      <c r="A167" s="77" t="s">
        <v>136</v>
      </c>
      <c r="B167" s="176" t="s">
        <v>136</v>
      </c>
      <c r="C167" s="177" t="s">
        <v>136</v>
      </c>
      <c r="D167" s="178">
        <v>0</v>
      </c>
      <c r="E167" s="178">
        <v>0</v>
      </c>
      <c r="F167" s="179">
        <v>0</v>
      </c>
      <c r="G167" s="77">
        <v>0</v>
      </c>
      <c r="H167" s="78">
        <f t="shared" si="32"/>
        <v>0</v>
      </c>
      <c r="I167" s="78">
        <f t="shared" si="33"/>
        <v>0</v>
      </c>
      <c r="J167" s="77">
        <v>0</v>
      </c>
      <c r="K167" s="77">
        <v>0</v>
      </c>
      <c r="L167" s="78">
        <f t="shared" si="34"/>
        <v>0</v>
      </c>
      <c r="M167" s="174">
        <f t="shared" si="35"/>
        <v>0</v>
      </c>
      <c r="N167" s="339">
        <f t="shared" ca="1" si="24"/>
        <v>41284.323380902781</v>
      </c>
      <c r="O167" s="340" t="e">
        <f t="shared" si="25"/>
        <v>#VALUE!</v>
      </c>
      <c r="P167" s="340" t="e">
        <f t="shared" si="26"/>
        <v>#VALUE!</v>
      </c>
      <c r="Q167" s="340" t="e">
        <f t="shared" si="27"/>
        <v>#VALUE!</v>
      </c>
      <c r="R167" s="340">
        <f t="shared" ca="1" si="28"/>
        <v>2013</v>
      </c>
      <c r="S167" s="340">
        <f t="shared" ca="1" si="29"/>
        <v>1</v>
      </c>
      <c r="T167" s="340">
        <f t="shared" ca="1" si="30"/>
        <v>10</v>
      </c>
      <c r="U167" s="357" t="str">
        <f t="shared" si="31"/>
        <v>-</v>
      </c>
    </row>
    <row r="168" spans="1:21" x14ac:dyDescent="0.2">
      <c r="A168" s="77" t="s">
        <v>136</v>
      </c>
      <c r="B168" s="176" t="s">
        <v>136</v>
      </c>
      <c r="C168" s="177" t="s">
        <v>136</v>
      </c>
      <c r="D168" s="178">
        <v>0</v>
      </c>
      <c r="E168" s="178">
        <v>0</v>
      </c>
      <c r="F168" s="179">
        <v>0</v>
      </c>
      <c r="G168" s="77">
        <v>0</v>
      </c>
      <c r="H168" s="78">
        <f t="shared" si="32"/>
        <v>0</v>
      </c>
      <c r="I168" s="78">
        <f t="shared" si="33"/>
        <v>0</v>
      </c>
      <c r="J168" s="77">
        <v>0</v>
      </c>
      <c r="K168" s="77">
        <v>0</v>
      </c>
      <c r="L168" s="78">
        <f t="shared" si="34"/>
        <v>0</v>
      </c>
      <c r="M168" s="174">
        <f t="shared" si="35"/>
        <v>0</v>
      </c>
      <c r="N168" s="339">
        <f t="shared" ca="1" si="24"/>
        <v>41284.323380902781</v>
      </c>
      <c r="O168" s="340" t="e">
        <f t="shared" si="25"/>
        <v>#VALUE!</v>
      </c>
      <c r="P168" s="340" t="e">
        <f t="shared" si="26"/>
        <v>#VALUE!</v>
      </c>
      <c r="Q168" s="340" t="e">
        <f t="shared" si="27"/>
        <v>#VALUE!</v>
      </c>
      <c r="R168" s="340">
        <f t="shared" ca="1" si="28"/>
        <v>2013</v>
      </c>
      <c r="S168" s="340">
        <f t="shared" ca="1" si="29"/>
        <v>1</v>
      </c>
      <c r="T168" s="340">
        <f t="shared" ca="1" si="30"/>
        <v>10</v>
      </c>
      <c r="U168" s="357" t="str">
        <f t="shared" si="31"/>
        <v>-</v>
      </c>
    </row>
    <row r="169" spans="1:21" x14ac:dyDescent="0.2">
      <c r="A169" s="77" t="s">
        <v>136</v>
      </c>
      <c r="B169" s="176" t="s">
        <v>136</v>
      </c>
      <c r="C169" s="177" t="s">
        <v>136</v>
      </c>
      <c r="D169" s="178">
        <v>0</v>
      </c>
      <c r="E169" s="178">
        <v>0</v>
      </c>
      <c r="F169" s="179">
        <v>0</v>
      </c>
      <c r="G169" s="77">
        <v>0</v>
      </c>
      <c r="H169" s="78">
        <f t="shared" si="32"/>
        <v>0</v>
      </c>
      <c r="I169" s="78">
        <f t="shared" si="33"/>
        <v>0</v>
      </c>
      <c r="J169" s="77">
        <v>0</v>
      </c>
      <c r="K169" s="77">
        <v>0</v>
      </c>
      <c r="L169" s="78">
        <f t="shared" si="34"/>
        <v>0</v>
      </c>
      <c r="M169" s="174">
        <f t="shared" si="35"/>
        <v>0</v>
      </c>
      <c r="N169" s="339">
        <f t="shared" ca="1" si="24"/>
        <v>41284.323380902781</v>
      </c>
      <c r="O169" s="340" t="e">
        <f t="shared" si="25"/>
        <v>#VALUE!</v>
      </c>
      <c r="P169" s="340" t="e">
        <f t="shared" si="26"/>
        <v>#VALUE!</v>
      </c>
      <c r="Q169" s="340" t="e">
        <f t="shared" si="27"/>
        <v>#VALUE!</v>
      </c>
      <c r="R169" s="340">
        <f t="shared" ca="1" si="28"/>
        <v>2013</v>
      </c>
      <c r="S169" s="340">
        <f t="shared" ca="1" si="29"/>
        <v>1</v>
      </c>
      <c r="T169" s="340">
        <f t="shared" ca="1" si="30"/>
        <v>10</v>
      </c>
      <c r="U169" s="357" t="str">
        <f t="shared" si="31"/>
        <v>-</v>
      </c>
    </row>
    <row r="170" spans="1:21" x14ac:dyDescent="0.2">
      <c r="A170" s="77" t="s">
        <v>136</v>
      </c>
      <c r="B170" s="176" t="s">
        <v>136</v>
      </c>
      <c r="C170" s="177" t="s">
        <v>136</v>
      </c>
      <c r="D170" s="178">
        <v>0</v>
      </c>
      <c r="E170" s="178">
        <v>0</v>
      </c>
      <c r="F170" s="179">
        <v>0</v>
      </c>
      <c r="G170" s="77">
        <v>0</v>
      </c>
      <c r="H170" s="78">
        <f t="shared" si="32"/>
        <v>0</v>
      </c>
      <c r="I170" s="78">
        <f t="shared" si="33"/>
        <v>0</v>
      </c>
      <c r="J170" s="77">
        <v>0</v>
      </c>
      <c r="K170" s="77">
        <v>0</v>
      </c>
      <c r="L170" s="78">
        <f t="shared" si="34"/>
        <v>0</v>
      </c>
      <c r="M170" s="174">
        <f t="shared" si="35"/>
        <v>0</v>
      </c>
      <c r="N170" s="339">
        <f t="shared" ca="1" si="24"/>
        <v>41284.323380902781</v>
      </c>
      <c r="O170" s="340" t="e">
        <f t="shared" si="25"/>
        <v>#VALUE!</v>
      </c>
      <c r="P170" s="340" t="e">
        <f t="shared" si="26"/>
        <v>#VALUE!</v>
      </c>
      <c r="Q170" s="340" t="e">
        <f t="shared" si="27"/>
        <v>#VALUE!</v>
      </c>
      <c r="R170" s="340">
        <f t="shared" ca="1" si="28"/>
        <v>2013</v>
      </c>
      <c r="S170" s="340">
        <f t="shared" ca="1" si="29"/>
        <v>1</v>
      </c>
      <c r="T170" s="340">
        <f t="shared" ca="1" si="30"/>
        <v>10</v>
      </c>
      <c r="U170" s="357" t="str">
        <f t="shared" si="31"/>
        <v>-</v>
      </c>
    </row>
    <row r="171" spans="1:21" x14ac:dyDescent="0.2">
      <c r="A171" s="77" t="s">
        <v>136</v>
      </c>
      <c r="B171" s="176" t="s">
        <v>136</v>
      </c>
      <c r="C171" s="177" t="s">
        <v>136</v>
      </c>
      <c r="D171" s="178">
        <v>0</v>
      </c>
      <c r="E171" s="178">
        <v>0</v>
      </c>
      <c r="F171" s="179">
        <v>0</v>
      </c>
      <c r="G171" s="77">
        <v>0</v>
      </c>
      <c r="H171" s="78">
        <f t="shared" si="32"/>
        <v>0</v>
      </c>
      <c r="I171" s="78">
        <f t="shared" si="33"/>
        <v>0</v>
      </c>
      <c r="J171" s="77">
        <v>0</v>
      </c>
      <c r="K171" s="77">
        <v>0</v>
      </c>
      <c r="L171" s="78">
        <f t="shared" si="34"/>
        <v>0</v>
      </c>
      <c r="M171" s="174">
        <f t="shared" si="35"/>
        <v>0</v>
      </c>
      <c r="N171" s="339">
        <f t="shared" ca="1" si="24"/>
        <v>41284.323380902781</v>
      </c>
      <c r="O171" s="340" t="e">
        <f t="shared" si="25"/>
        <v>#VALUE!</v>
      </c>
      <c r="P171" s="340" t="e">
        <f t="shared" si="26"/>
        <v>#VALUE!</v>
      </c>
      <c r="Q171" s="340" t="e">
        <f t="shared" si="27"/>
        <v>#VALUE!</v>
      </c>
      <c r="R171" s="340">
        <f t="shared" ca="1" si="28"/>
        <v>2013</v>
      </c>
      <c r="S171" s="340">
        <f t="shared" ca="1" si="29"/>
        <v>1</v>
      </c>
      <c r="T171" s="340">
        <f t="shared" ca="1" si="30"/>
        <v>10</v>
      </c>
      <c r="U171" s="357" t="str">
        <f t="shared" si="31"/>
        <v>-</v>
      </c>
    </row>
    <row r="172" spans="1:21" x14ac:dyDescent="0.2">
      <c r="A172" s="77" t="s">
        <v>136</v>
      </c>
      <c r="B172" s="176" t="s">
        <v>136</v>
      </c>
      <c r="C172" s="177" t="s">
        <v>136</v>
      </c>
      <c r="D172" s="178">
        <v>0</v>
      </c>
      <c r="E172" s="178">
        <v>0</v>
      </c>
      <c r="F172" s="179">
        <v>0</v>
      </c>
      <c r="G172" s="77">
        <v>0</v>
      </c>
      <c r="H172" s="78">
        <f t="shared" si="32"/>
        <v>0</v>
      </c>
      <c r="I172" s="78">
        <f t="shared" si="33"/>
        <v>0</v>
      </c>
      <c r="J172" s="77">
        <v>0</v>
      </c>
      <c r="K172" s="77">
        <v>0</v>
      </c>
      <c r="L172" s="78">
        <f t="shared" si="34"/>
        <v>0</v>
      </c>
      <c r="M172" s="174">
        <f t="shared" si="35"/>
        <v>0</v>
      </c>
      <c r="N172" s="339">
        <f t="shared" ca="1" si="24"/>
        <v>41284.323380902781</v>
      </c>
      <c r="O172" s="340" t="e">
        <f t="shared" si="25"/>
        <v>#VALUE!</v>
      </c>
      <c r="P172" s="340" t="e">
        <f t="shared" si="26"/>
        <v>#VALUE!</v>
      </c>
      <c r="Q172" s="340" t="e">
        <f t="shared" si="27"/>
        <v>#VALUE!</v>
      </c>
      <c r="R172" s="340">
        <f t="shared" ca="1" si="28"/>
        <v>2013</v>
      </c>
      <c r="S172" s="340">
        <f t="shared" ca="1" si="29"/>
        <v>1</v>
      </c>
      <c r="T172" s="340">
        <f t="shared" ca="1" si="30"/>
        <v>10</v>
      </c>
      <c r="U172" s="357" t="str">
        <f t="shared" si="31"/>
        <v>-</v>
      </c>
    </row>
    <row r="173" spans="1:21" x14ac:dyDescent="0.2">
      <c r="A173" s="77" t="s">
        <v>136</v>
      </c>
      <c r="B173" s="176" t="s">
        <v>136</v>
      </c>
      <c r="C173" s="177" t="s">
        <v>136</v>
      </c>
      <c r="D173" s="178">
        <v>0</v>
      </c>
      <c r="E173" s="178">
        <v>0</v>
      </c>
      <c r="F173" s="179">
        <v>0</v>
      </c>
      <c r="G173" s="77">
        <v>0</v>
      </c>
      <c r="H173" s="78">
        <f t="shared" si="32"/>
        <v>0</v>
      </c>
      <c r="I173" s="78">
        <f t="shared" si="33"/>
        <v>0</v>
      </c>
      <c r="J173" s="77">
        <v>0</v>
      </c>
      <c r="K173" s="77">
        <v>0</v>
      </c>
      <c r="L173" s="78">
        <f t="shared" si="34"/>
        <v>0</v>
      </c>
      <c r="M173" s="174">
        <f t="shared" si="35"/>
        <v>0</v>
      </c>
      <c r="N173" s="339">
        <f t="shared" ca="1" si="24"/>
        <v>41284.323380902781</v>
      </c>
      <c r="O173" s="340" t="e">
        <f t="shared" si="25"/>
        <v>#VALUE!</v>
      </c>
      <c r="P173" s="340" t="e">
        <f t="shared" si="26"/>
        <v>#VALUE!</v>
      </c>
      <c r="Q173" s="340" t="e">
        <f t="shared" si="27"/>
        <v>#VALUE!</v>
      </c>
      <c r="R173" s="340">
        <f t="shared" ca="1" si="28"/>
        <v>2013</v>
      </c>
      <c r="S173" s="340">
        <f t="shared" ca="1" si="29"/>
        <v>1</v>
      </c>
      <c r="T173" s="340">
        <f t="shared" ca="1" si="30"/>
        <v>10</v>
      </c>
      <c r="U173" s="357" t="str">
        <f t="shared" si="31"/>
        <v>-</v>
      </c>
    </row>
    <row r="174" spans="1:21" x14ac:dyDescent="0.2">
      <c r="A174" s="77" t="s">
        <v>136</v>
      </c>
      <c r="B174" s="176" t="s">
        <v>136</v>
      </c>
      <c r="C174" s="177" t="s">
        <v>136</v>
      </c>
      <c r="D174" s="178">
        <v>0</v>
      </c>
      <c r="E174" s="178">
        <v>0</v>
      </c>
      <c r="F174" s="179">
        <v>0</v>
      </c>
      <c r="G174" s="77">
        <v>0</v>
      </c>
      <c r="H174" s="78">
        <f t="shared" si="32"/>
        <v>0</v>
      </c>
      <c r="I174" s="78">
        <f t="shared" si="33"/>
        <v>0</v>
      </c>
      <c r="J174" s="77">
        <v>0</v>
      </c>
      <c r="K174" s="77">
        <v>0</v>
      </c>
      <c r="L174" s="78">
        <f t="shared" si="34"/>
        <v>0</v>
      </c>
      <c r="M174" s="174">
        <f t="shared" si="35"/>
        <v>0</v>
      </c>
      <c r="N174" s="339">
        <f t="shared" ca="1" si="24"/>
        <v>41284.323380902781</v>
      </c>
      <c r="O174" s="340" t="e">
        <f t="shared" si="25"/>
        <v>#VALUE!</v>
      </c>
      <c r="P174" s="340" t="e">
        <f t="shared" si="26"/>
        <v>#VALUE!</v>
      </c>
      <c r="Q174" s="340" t="e">
        <f t="shared" si="27"/>
        <v>#VALUE!</v>
      </c>
      <c r="R174" s="340">
        <f t="shared" ca="1" si="28"/>
        <v>2013</v>
      </c>
      <c r="S174" s="340">
        <f t="shared" ca="1" si="29"/>
        <v>1</v>
      </c>
      <c r="T174" s="340">
        <f t="shared" ca="1" si="30"/>
        <v>10</v>
      </c>
      <c r="U174" s="357" t="str">
        <f t="shared" si="31"/>
        <v>-</v>
      </c>
    </row>
    <row r="175" spans="1:21" x14ac:dyDescent="0.2">
      <c r="A175" s="77" t="s">
        <v>136</v>
      </c>
      <c r="B175" s="176" t="s">
        <v>136</v>
      </c>
      <c r="C175" s="177" t="s">
        <v>136</v>
      </c>
      <c r="D175" s="178">
        <v>0</v>
      </c>
      <c r="E175" s="178">
        <v>0</v>
      </c>
      <c r="F175" s="179">
        <v>0</v>
      </c>
      <c r="G175" s="77">
        <v>0</v>
      </c>
      <c r="H175" s="78">
        <f t="shared" si="32"/>
        <v>0</v>
      </c>
      <c r="I175" s="78">
        <f t="shared" si="33"/>
        <v>0</v>
      </c>
      <c r="J175" s="77">
        <v>0</v>
      </c>
      <c r="K175" s="77">
        <v>0</v>
      </c>
      <c r="L175" s="78">
        <f t="shared" si="34"/>
        <v>0</v>
      </c>
      <c r="M175" s="174">
        <f t="shared" si="35"/>
        <v>0</v>
      </c>
      <c r="N175" s="339">
        <f t="shared" ca="1" si="24"/>
        <v>41284.323380902781</v>
      </c>
      <c r="O175" s="340" t="e">
        <f t="shared" si="25"/>
        <v>#VALUE!</v>
      </c>
      <c r="P175" s="340" t="e">
        <f t="shared" si="26"/>
        <v>#VALUE!</v>
      </c>
      <c r="Q175" s="340" t="e">
        <f t="shared" si="27"/>
        <v>#VALUE!</v>
      </c>
      <c r="R175" s="340">
        <f t="shared" ca="1" si="28"/>
        <v>2013</v>
      </c>
      <c r="S175" s="340">
        <f t="shared" ca="1" si="29"/>
        <v>1</v>
      </c>
      <c r="T175" s="340">
        <f t="shared" ca="1" si="30"/>
        <v>10</v>
      </c>
      <c r="U175" s="357" t="str">
        <f t="shared" si="31"/>
        <v>-</v>
      </c>
    </row>
    <row r="176" spans="1:21" x14ac:dyDescent="0.2">
      <c r="A176" s="77" t="s">
        <v>136</v>
      </c>
      <c r="B176" s="176" t="s">
        <v>136</v>
      </c>
      <c r="C176" s="177" t="s">
        <v>136</v>
      </c>
      <c r="D176" s="178">
        <v>0</v>
      </c>
      <c r="E176" s="178">
        <v>0</v>
      </c>
      <c r="F176" s="179">
        <v>0</v>
      </c>
      <c r="G176" s="77">
        <v>0</v>
      </c>
      <c r="H176" s="78">
        <f t="shared" si="32"/>
        <v>0</v>
      </c>
      <c r="I176" s="78">
        <f t="shared" si="33"/>
        <v>0</v>
      </c>
      <c r="J176" s="77">
        <v>0</v>
      </c>
      <c r="K176" s="77">
        <v>0</v>
      </c>
      <c r="L176" s="78">
        <f t="shared" si="34"/>
        <v>0</v>
      </c>
      <c r="M176" s="174">
        <f t="shared" si="35"/>
        <v>0</v>
      </c>
      <c r="N176" s="339">
        <f t="shared" ca="1" si="24"/>
        <v>41284.323380902781</v>
      </c>
      <c r="O176" s="340" t="e">
        <f t="shared" si="25"/>
        <v>#VALUE!</v>
      </c>
      <c r="P176" s="340" t="e">
        <f t="shared" si="26"/>
        <v>#VALUE!</v>
      </c>
      <c r="Q176" s="340" t="e">
        <f t="shared" si="27"/>
        <v>#VALUE!</v>
      </c>
      <c r="R176" s="340">
        <f t="shared" ca="1" si="28"/>
        <v>2013</v>
      </c>
      <c r="S176" s="340">
        <f t="shared" ca="1" si="29"/>
        <v>1</v>
      </c>
      <c r="T176" s="340">
        <f t="shared" ca="1" si="30"/>
        <v>10</v>
      </c>
      <c r="U176" s="357" t="str">
        <f t="shared" si="31"/>
        <v>-</v>
      </c>
    </row>
    <row r="177" spans="1:21" x14ac:dyDescent="0.2">
      <c r="A177" s="77" t="s">
        <v>136</v>
      </c>
      <c r="B177" s="176" t="s">
        <v>136</v>
      </c>
      <c r="C177" s="177" t="s">
        <v>136</v>
      </c>
      <c r="D177" s="178">
        <v>0</v>
      </c>
      <c r="E177" s="178">
        <v>0</v>
      </c>
      <c r="F177" s="179">
        <v>0</v>
      </c>
      <c r="G177" s="77">
        <v>0</v>
      </c>
      <c r="H177" s="78">
        <f t="shared" si="32"/>
        <v>0</v>
      </c>
      <c r="I177" s="78">
        <f t="shared" si="33"/>
        <v>0</v>
      </c>
      <c r="J177" s="77">
        <v>0</v>
      </c>
      <c r="K177" s="77">
        <v>0</v>
      </c>
      <c r="L177" s="78">
        <f t="shared" si="34"/>
        <v>0</v>
      </c>
      <c r="M177" s="174">
        <f t="shared" si="35"/>
        <v>0</v>
      </c>
      <c r="N177" s="339">
        <f t="shared" ca="1" si="24"/>
        <v>41284.323380902781</v>
      </c>
      <c r="O177" s="340" t="e">
        <f t="shared" si="25"/>
        <v>#VALUE!</v>
      </c>
      <c r="P177" s="340" t="e">
        <f t="shared" si="26"/>
        <v>#VALUE!</v>
      </c>
      <c r="Q177" s="340" t="e">
        <f t="shared" si="27"/>
        <v>#VALUE!</v>
      </c>
      <c r="R177" s="340">
        <f t="shared" ca="1" si="28"/>
        <v>2013</v>
      </c>
      <c r="S177" s="340">
        <f t="shared" ca="1" si="29"/>
        <v>1</v>
      </c>
      <c r="T177" s="340">
        <f t="shared" ca="1" si="30"/>
        <v>10</v>
      </c>
      <c r="U177" s="357" t="str">
        <f t="shared" si="31"/>
        <v>-</v>
      </c>
    </row>
    <row r="178" spans="1:21" x14ac:dyDescent="0.2">
      <c r="A178" s="77" t="s">
        <v>136</v>
      </c>
      <c r="B178" s="176" t="s">
        <v>136</v>
      </c>
      <c r="C178" s="177" t="s">
        <v>136</v>
      </c>
      <c r="D178" s="178">
        <v>0</v>
      </c>
      <c r="E178" s="178">
        <v>0</v>
      </c>
      <c r="F178" s="179">
        <v>0</v>
      </c>
      <c r="G178" s="77">
        <v>0</v>
      </c>
      <c r="H178" s="78">
        <f t="shared" si="32"/>
        <v>0</v>
      </c>
      <c r="I178" s="78">
        <f t="shared" si="33"/>
        <v>0</v>
      </c>
      <c r="J178" s="77">
        <v>0</v>
      </c>
      <c r="K178" s="77">
        <v>0</v>
      </c>
      <c r="L178" s="78">
        <f t="shared" si="34"/>
        <v>0</v>
      </c>
      <c r="M178" s="174">
        <f t="shared" si="35"/>
        <v>0</v>
      </c>
      <c r="N178" s="339">
        <f t="shared" ca="1" si="24"/>
        <v>41284.323380902781</v>
      </c>
      <c r="O178" s="340" t="e">
        <f t="shared" si="25"/>
        <v>#VALUE!</v>
      </c>
      <c r="P178" s="340" t="e">
        <f t="shared" si="26"/>
        <v>#VALUE!</v>
      </c>
      <c r="Q178" s="340" t="e">
        <f t="shared" si="27"/>
        <v>#VALUE!</v>
      </c>
      <c r="R178" s="340">
        <f t="shared" ca="1" si="28"/>
        <v>2013</v>
      </c>
      <c r="S178" s="340">
        <f t="shared" ca="1" si="29"/>
        <v>1</v>
      </c>
      <c r="T178" s="340">
        <f t="shared" ca="1" si="30"/>
        <v>10</v>
      </c>
      <c r="U178" s="357" t="str">
        <f t="shared" si="31"/>
        <v>-</v>
      </c>
    </row>
    <row r="179" spans="1:21" x14ac:dyDescent="0.2">
      <c r="A179" s="77" t="s">
        <v>136</v>
      </c>
      <c r="B179" s="176" t="s">
        <v>136</v>
      </c>
      <c r="C179" s="177" t="s">
        <v>136</v>
      </c>
      <c r="D179" s="178">
        <v>0</v>
      </c>
      <c r="E179" s="178">
        <v>0</v>
      </c>
      <c r="F179" s="179">
        <v>0</v>
      </c>
      <c r="G179" s="77">
        <v>0</v>
      </c>
      <c r="H179" s="78">
        <f t="shared" si="32"/>
        <v>0</v>
      </c>
      <c r="I179" s="78">
        <f t="shared" si="33"/>
        <v>0</v>
      </c>
      <c r="J179" s="77">
        <v>0</v>
      </c>
      <c r="K179" s="77">
        <v>0</v>
      </c>
      <c r="L179" s="78">
        <f t="shared" si="34"/>
        <v>0</v>
      </c>
      <c r="M179" s="174">
        <f t="shared" si="35"/>
        <v>0</v>
      </c>
      <c r="N179" s="339">
        <f t="shared" ca="1" si="24"/>
        <v>41284.323380902781</v>
      </c>
      <c r="O179" s="340" t="e">
        <f t="shared" si="25"/>
        <v>#VALUE!</v>
      </c>
      <c r="P179" s="340" t="e">
        <f t="shared" si="26"/>
        <v>#VALUE!</v>
      </c>
      <c r="Q179" s="340" t="e">
        <f t="shared" si="27"/>
        <v>#VALUE!</v>
      </c>
      <c r="R179" s="340">
        <f t="shared" ca="1" si="28"/>
        <v>2013</v>
      </c>
      <c r="S179" s="340">
        <f t="shared" ca="1" si="29"/>
        <v>1</v>
      </c>
      <c r="T179" s="340">
        <f t="shared" ca="1" si="30"/>
        <v>10</v>
      </c>
      <c r="U179" s="357" t="str">
        <f t="shared" si="31"/>
        <v>-</v>
      </c>
    </row>
    <row r="180" spans="1:21" x14ac:dyDescent="0.2">
      <c r="A180" s="77" t="s">
        <v>136</v>
      </c>
      <c r="B180" s="176" t="s">
        <v>136</v>
      </c>
      <c r="C180" s="177" t="s">
        <v>136</v>
      </c>
      <c r="D180" s="178">
        <v>0</v>
      </c>
      <c r="E180" s="178">
        <v>0</v>
      </c>
      <c r="F180" s="179">
        <v>0</v>
      </c>
      <c r="G180" s="77">
        <v>0</v>
      </c>
      <c r="H180" s="78">
        <f t="shared" si="32"/>
        <v>0</v>
      </c>
      <c r="I180" s="78">
        <f t="shared" si="33"/>
        <v>0</v>
      </c>
      <c r="J180" s="77">
        <v>0</v>
      </c>
      <c r="K180" s="77">
        <v>0</v>
      </c>
      <c r="L180" s="78">
        <f t="shared" si="34"/>
        <v>0</v>
      </c>
      <c r="M180" s="174">
        <f t="shared" si="35"/>
        <v>0</v>
      </c>
      <c r="N180" s="339">
        <f t="shared" ca="1" si="24"/>
        <v>41284.323380902781</v>
      </c>
      <c r="O180" s="340" t="e">
        <f t="shared" si="25"/>
        <v>#VALUE!</v>
      </c>
      <c r="P180" s="340" t="e">
        <f t="shared" si="26"/>
        <v>#VALUE!</v>
      </c>
      <c r="Q180" s="340" t="e">
        <f t="shared" si="27"/>
        <v>#VALUE!</v>
      </c>
      <c r="R180" s="340">
        <f t="shared" ca="1" si="28"/>
        <v>2013</v>
      </c>
      <c r="S180" s="340">
        <f t="shared" ca="1" si="29"/>
        <v>1</v>
      </c>
      <c r="T180" s="340">
        <f t="shared" ca="1" si="30"/>
        <v>10</v>
      </c>
      <c r="U180" s="357" t="str">
        <f t="shared" si="31"/>
        <v>-</v>
      </c>
    </row>
    <row r="181" spans="1:21" x14ac:dyDescent="0.2">
      <c r="A181" s="77" t="s">
        <v>136</v>
      </c>
      <c r="B181" s="176" t="s">
        <v>136</v>
      </c>
      <c r="C181" s="177" t="s">
        <v>136</v>
      </c>
      <c r="D181" s="178">
        <v>0</v>
      </c>
      <c r="E181" s="178">
        <v>0</v>
      </c>
      <c r="F181" s="179">
        <v>0</v>
      </c>
      <c r="G181" s="77">
        <v>0</v>
      </c>
      <c r="H181" s="78">
        <f t="shared" si="32"/>
        <v>0</v>
      </c>
      <c r="I181" s="78">
        <f t="shared" si="33"/>
        <v>0</v>
      </c>
      <c r="J181" s="77">
        <v>0</v>
      </c>
      <c r="K181" s="77">
        <v>0</v>
      </c>
      <c r="L181" s="78">
        <f t="shared" si="34"/>
        <v>0</v>
      </c>
      <c r="M181" s="174">
        <f t="shared" si="35"/>
        <v>0</v>
      </c>
      <c r="N181" s="339">
        <f t="shared" ca="1" si="24"/>
        <v>41284.323380902781</v>
      </c>
      <c r="O181" s="340" t="e">
        <f t="shared" si="25"/>
        <v>#VALUE!</v>
      </c>
      <c r="P181" s="340" t="e">
        <f t="shared" si="26"/>
        <v>#VALUE!</v>
      </c>
      <c r="Q181" s="340" t="e">
        <f t="shared" si="27"/>
        <v>#VALUE!</v>
      </c>
      <c r="R181" s="340">
        <f t="shared" ca="1" si="28"/>
        <v>2013</v>
      </c>
      <c r="S181" s="340">
        <f t="shared" ca="1" si="29"/>
        <v>1</v>
      </c>
      <c r="T181" s="340">
        <f t="shared" ca="1" si="30"/>
        <v>10</v>
      </c>
      <c r="U181" s="357" t="str">
        <f t="shared" si="31"/>
        <v>-</v>
      </c>
    </row>
    <row r="182" spans="1:21" x14ac:dyDescent="0.2">
      <c r="A182" s="77" t="s">
        <v>136</v>
      </c>
      <c r="B182" s="176" t="s">
        <v>136</v>
      </c>
      <c r="C182" s="177" t="s">
        <v>136</v>
      </c>
      <c r="D182" s="178">
        <v>0</v>
      </c>
      <c r="E182" s="178">
        <v>0</v>
      </c>
      <c r="F182" s="179">
        <v>0</v>
      </c>
      <c r="G182" s="77">
        <v>0</v>
      </c>
      <c r="H182" s="78">
        <f t="shared" si="32"/>
        <v>0</v>
      </c>
      <c r="I182" s="78">
        <f t="shared" si="33"/>
        <v>0</v>
      </c>
      <c r="J182" s="77">
        <v>0</v>
      </c>
      <c r="K182" s="77">
        <v>0</v>
      </c>
      <c r="L182" s="78">
        <f t="shared" si="34"/>
        <v>0</v>
      </c>
      <c r="M182" s="174">
        <f t="shared" si="35"/>
        <v>0</v>
      </c>
      <c r="N182" s="339">
        <f t="shared" ca="1" si="24"/>
        <v>41284.323380902781</v>
      </c>
      <c r="O182" s="340" t="e">
        <f t="shared" si="25"/>
        <v>#VALUE!</v>
      </c>
      <c r="P182" s="340" t="e">
        <f t="shared" si="26"/>
        <v>#VALUE!</v>
      </c>
      <c r="Q182" s="340" t="e">
        <f t="shared" si="27"/>
        <v>#VALUE!</v>
      </c>
      <c r="R182" s="340">
        <f t="shared" ca="1" si="28"/>
        <v>2013</v>
      </c>
      <c r="S182" s="340">
        <f t="shared" ca="1" si="29"/>
        <v>1</v>
      </c>
      <c r="T182" s="340">
        <f t="shared" ca="1" si="30"/>
        <v>10</v>
      </c>
      <c r="U182" s="357" t="str">
        <f t="shared" si="31"/>
        <v>-</v>
      </c>
    </row>
    <row r="183" spans="1:21" x14ac:dyDescent="0.2">
      <c r="A183" s="77" t="s">
        <v>136</v>
      </c>
      <c r="B183" s="176" t="s">
        <v>136</v>
      </c>
      <c r="C183" s="177" t="s">
        <v>136</v>
      </c>
      <c r="D183" s="178">
        <v>0</v>
      </c>
      <c r="E183" s="178">
        <v>0</v>
      </c>
      <c r="F183" s="179">
        <v>0</v>
      </c>
      <c r="G183" s="77">
        <v>0</v>
      </c>
      <c r="H183" s="78">
        <f t="shared" si="32"/>
        <v>0</v>
      </c>
      <c r="I183" s="78">
        <f t="shared" si="33"/>
        <v>0</v>
      </c>
      <c r="J183" s="77">
        <v>0</v>
      </c>
      <c r="K183" s="77">
        <v>0</v>
      </c>
      <c r="L183" s="78">
        <f t="shared" si="34"/>
        <v>0</v>
      </c>
      <c r="M183" s="174">
        <f t="shared" si="35"/>
        <v>0</v>
      </c>
      <c r="N183" s="339">
        <f t="shared" ca="1" si="24"/>
        <v>41284.323380902781</v>
      </c>
      <c r="O183" s="340" t="e">
        <f t="shared" si="25"/>
        <v>#VALUE!</v>
      </c>
      <c r="P183" s="340" t="e">
        <f t="shared" si="26"/>
        <v>#VALUE!</v>
      </c>
      <c r="Q183" s="340" t="e">
        <f t="shared" si="27"/>
        <v>#VALUE!</v>
      </c>
      <c r="R183" s="340">
        <f t="shared" ca="1" si="28"/>
        <v>2013</v>
      </c>
      <c r="S183" s="340">
        <f t="shared" ca="1" si="29"/>
        <v>1</v>
      </c>
      <c r="T183" s="340">
        <f t="shared" ca="1" si="30"/>
        <v>10</v>
      </c>
      <c r="U183" s="357" t="str">
        <f t="shared" si="31"/>
        <v>-</v>
      </c>
    </row>
    <row r="184" spans="1:21" x14ac:dyDescent="0.2">
      <c r="A184" s="77" t="s">
        <v>136</v>
      </c>
      <c r="B184" s="176" t="s">
        <v>136</v>
      </c>
      <c r="C184" s="177" t="s">
        <v>136</v>
      </c>
      <c r="D184" s="178">
        <v>0</v>
      </c>
      <c r="E184" s="178">
        <v>0</v>
      </c>
      <c r="F184" s="179">
        <v>0</v>
      </c>
      <c r="G184" s="77">
        <v>0</v>
      </c>
      <c r="H184" s="78">
        <f t="shared" si="32"/>
        <v>0</v>
      </c>
      <c r="I184" s="78">
        <f t="shared" si="33"/>
        <v>0</v>
      </c>
      <c r="J184" s="77">
        <v>0</v>
      </c>
      <c r="K184" s="77">
        <v>0</v>
      </c>
      <c r="L184" s="78">
        <f t="shared" si="34"/>
        <v>0</v>
      </c>
      <c r="M184" s="174">
        <f t="shared" si="35"/>
        <v>0</v>
      </c>
      <c r="N184" s="339">
        <f t="shared" ca="1" si="24"/>
        <v>41284.323380902781</v>
      </c>
      <c r="O184" s="340" t="e">
        <f t="shared" si="25"/>
        <v>#VALUE!</v>
      </c>
      <c r="P184" s="340" t="e">
        <f t="shared" si="26"/>
        <v>#VALUE!</v>
      </c>
      <c r="Q184" s="340" t="e">
        <f t="shared" si="27"/>
        <v>#VALUE!</v>
      </c>
      <c r="R184" s="340">
        <f t="shared" ca="1" si="28"/>
        <v>2013</v>
      </c>
      <c r="S184" s="340">
        <f t="shared" ca="1" si="29"/>
        <v>1</v>
      </c>
      <c r="T184" s="340">
        <f t="shared" ca="1" si="30"/>
        <v>10</v>
      </c>
      <c r="U184" s="357" t="str">
        <f t="shared" si="31"/>
        <v>-</v>
      </c>
    </row>
    <row r="185" spans="1:21" x14ac:dyDescent="0.2">
      <c r="A185" s="77" t="s">
        <v>136</v>
      </c>
      <c r="B185" s="176" t="s">
        <v>136</v>
      </c>
      <c r="C185" s="177" t="s">
        <v>136</v>
      </c>
      <c r="D185" s="178">
        <v>0</v>
      </c>
      <c r="E185" s="178">
        <v>0</v>
      </c>
      <c r="F185" s="179">
        <v>0</v>
      </c>
      <c r="G185" s="77">
        <v>0</v>
      </c>
      <c r="H185" s="78">
        <f t="shared" si="32"/>
        <v>0</v>
      </c>
      <c r="I185" s="78">
        <f t="shared" si="33"/>
        <v>0</v>
      </c>
      <c r="J185" s="77">
        <v>0</v>
      </c>
      <c r="K185" s="77">
        <v>0</v>
      </c>
      <c r="L185" s="78">
        <f t="shared" si="34"/>
        <v>0</v>
      </c>
      <c r="M185" s="174">
        <f t="shared" si="35"/>
        <v>0</v>
      </c>
      <c r="N185" s="339">
        <f t="shared" ca="1" si="24"/>
        <v>41284.323380902781</v>
      </c>
      <c r="O185" s="340" t="e">
        <f t="shared" si="25"/>
        <v>#VALUE!</v>
      </c>
      <c r="P185" s="340" t="e">
        <f t="shared" si="26"/>
        <v>#VALUE!</v>
      </c>
      <c r="Q185" s="340" t="e">
        <f t="shared" si="27"/>
        <v>#VALUE!</v>
      </c>
      <c r="R185" s="340">
        <f t="shared" ca="1" si="28"/>
        <v>2013</v>
      </c>
      <c r="S185" s="340">
        <f t="shared" ca="1" si="29"/>
        <v>1</v>
      </c>
      <c r="T185" s="340">
        <f t="shared" ca="1" si="30"/>
        <v>10</v>
      </c>
      <c r="U185" s="357" t="str">
        <f t="shared" si="31"/>
        <v>-</v>
      </c>
    </row>
    <row r="186" spans="1:21" x14ac:dyDescent="0.2">
      <c r="A186" s="77" t="s">
        <v>136</v>
      </c>
      <c r="B186" s="176" t="s">
        <v>136</v>
      </c>
      <c r="C186" s="177" t="s">
        <v>136</v>
      </c>
      <c r="D186" s="178">
        <v>0</v>
      </c>
      <c r="E186" s="178">
        <v>0</v>
      </c>
      <c r="F186" s="179">
        <v>0</v>
      </c>
      <c r="G186" s="77">
        <v>0</v>
      </c>
      <c r="H186" s="78">
        <f t="shared" si="32"/>
        <v>0</v>
      </c>
      <c r="I186" s="78">
        <f t="shared" si="33"/>
        <v>0</v>
      </c>
      <c r="J186" s="77">
        <v>0</v>
      </c>
      <c r="K186" s="77">
        <v>0</v>
      </c>
      <c r="L186" s="78">
        <f t="shared" si="34"/>
        <v>0</v>
      </c>
      <c r="M186" s="174">
        <f t="shared" si="35"/>
        <v>0</v>
      </c>
      <c r="N186" s="339">
        <f t="shared" ca="1" si="24"/>
        <v>41284.323380902781</v>
      </c>
      <c r="O186" s="340" t="e">
        <f t="shared" si="25"/>
        <v>#VALUE!</v>
      </c>
      <c r="P186" s="340" t="e">
        <f t="shared" si="26"/>
        <v>#VALUE!</v>
      </c>
      <c r="Q186" s="340" t="e">
        <f t="shared" si="27"/>
        <v>#VALUE!</v>
      </c>
      <c r="R186" s="340">
        <f t="shared" ca="1" si="28"/>
        <v>2013</v>
      </c>
      <c r="S186" s="340">
        <f t="shared" ca="1" si="29"/>
        <v>1</v>
      </c>
      <c r="T186" s="340">
        <f t="shared" ca="1" si="30"/>
        <v>10</v>
      </c>
      <c r="U186" s="357" t="str">
        <f t="shared" si="31"/>
        <v>-</v>
      </c>
    </row>
    <row r="187" spans="1:21" x14ac:dyDescent="0.2">
      <c r="A187" s="77" t="s">
        <v>136</v>
      </c>
      <c r="B187" s="176" t="s">
        <v>136</v>
      </c>
      <c r="C187" s="177" t="s">
        <v>136</v>
      </c>
      <c r="D187" s="178">
        <v>0</v>
      </c>
      <c r="E187" s="178">
        <v>0</v>
      </c>
      <c r="F187" s="179">
        <v>0</v>
      </c>
      <c r="G187" s="77">
        <v>0</v>
      </c>
      <c r="H187" s="78">
        <f t="shared" si="32"/>
        <v>0</v>
      </c>
      <c r="I187" s="78">
        <f t="shared" si="33"/>
        <v>0</v>
      </c>
      <c r="J187" s="77">
        <v>0</v>
      </c>
      <c r="K187" s="77">
        <v>0</v>
      </c>
      <c r="L187" s="78">
        <f t="shared" si="34"/>
        <v>0</v>
      </c>
      <c r="M187" s="174">
        <f t="shared" si="35"/>
        <v>0</v>
      </c>
      <c r="N187" s="339">
        <f t="shared" ca="1" si="24"/>
        <v>41284.323380902781</v>
      </c>
      <c r="O187" s="340" t="e">
        <f t="shared" si="25"/>
        <v>#VALUE!</v>
      </c>
      <c r="P187" s="340" t="e">
        <f t="shared" si="26"/>
        <v>#VALUE!</v>
      </c>
      <c r="Q187" s="340" t="e">
        <f t="shared" si="27"/>
        <v>#VALUE!</v>
      </c>
      <c r="R187" s="340">
        <f t="shared" ca="1" si="28"/>
        <v>2013</v>
      </c>
      <c r="S187" s="340">
        <f t="shared" ca="1" si="29"/>
        <v>1</v>
      </c>
      <c r="T187" s="340">
        <f t="shared" ca="1" si="30"/>
        <v>10</v>
      </c>
      <c r="U187" s="357" t="str">
        <f t="shared" si="31"/>
        <v>-</v>
      </c>
    </row>
    <row r="188" spans="1:21" x14ac:dyDescent="0.2">
      <c r="A188" s="77" t="s">
        <v>136</v>
      </c>
      <c r="B188" s="176" t="s">
        <v>136</v>
      </c>
      <c r="C188" s="177" t="s">
        <v>136</v>
      </c>
      <c r="D188" s="178">
        <v>0</v>
      </c>
      <c r="E188" s="178">
        <v>0</v>
      </c>
      <c r="F188" s="179">
        <v>0</v>
      </c>
      <c r="G188" s="77">
        <v>0</v>
      </c>
      <c r="H188" s="78">
        <f t="shared" si="32"/>
        <v>0</v>
      </c>
      <c r="I188" s="78">
        <f t="shared" si="33"/>
        <v>0</v>
      </c>
      <c r="J188" s="77">
        <v>0</v>
      </c>
      <c r="K188" s="77">
        <v>0</v>
      </c>
      <c r="L188" s="78">
        <f t="shared" si="34"/>
        <v>0</v>
      </c>
      <c r="M188" s="174">
        <f t="shared" si="35"/>
        <v>0</v>
      </c>
      <c r="N188" s="339">
        <f t="shared" ca="1" si="24"/>
        <v>41284.323380902781</v>
      </c>
      <c r="O188" s="340" t="e">
        <f t="shared" si="25"/>
        <v>#VALUE!</v>
      </c>
      <c r="P188" s="340" t="e">
        <f t="shared" si="26"/>
        <v>#VALUE!</v>
      </c>
      <c r="Q188" s="340" t="e">
        <f t="shared" si="27"/>
        <v>#VALUE!</v>
      </c>
      <c r="R188" s="340">
        <f t="shared" ca="1" si="28"/>
        <v>2013</v>
      </c>
      <c r="S188" s="340">
        <f t="shared" ca="1" si="29"/>
        <v>1</v>
      </c>
      <c r="T188" s="340">
        <f t="shared" ca="1" si="30"/>
        <v>10</v>
      </c>
      <c r="U188" s="357" t="str">
        <f t="shared" si="31"/>
        <v>-</v>
      </c>
    </row>
    <row r="189" spans="1:21" x14ac:dyDescent="0.2">
      <c r="A189" s="77" t="s">
        <v>136</v>
      </c>
      <c r="B189" s="176" t="s">
        <v>136</v>
      </c>
      <c r="C189" s="177" t="s">
        <v>136</v>
      </c>
      <c r="D189" s="178">
        <v>0</v>
      </c>
      <c r="E189" s="178">
        <v>0</v>
      </c>
      <c r="F189" s="179">
        <v>0</v>
      </c>
      <c r="G189" s="77">
        <v>0</v>
      </c>
      <c r="H189" s="78">
        <f t="shared" si="32"/>
        <v>0</v>
      </c>
      <c r="I189" s="78">
        <f t="shared" si="33"/>
        <v>0</v>
      </c>
      <c r="J189" s="77">
        <v>0</v>
      </c>
      <c r="K189" s="77">
        <v>0</v>
      </c>
      <c r="L189" s="78">
        <f t="shared" si="34"/>
        <v>0</v>
      </c>
      <c r="M189" s="174">
        <f t="shared" si="35"/>
        <v>0</v>
      </c>
      <c r="N189" s="339">
        <f t="shared" ca="1" si="24"/>
        <v>41284.323380902781</v>
      </c>
      <c r="O189" s="340" t="e">
        <f t="shared" si="25"/>
        <v>#VALUE!</v>
      </c>
      <c r="P189" s="340" t="e">
        <f t="shared" si="26"/>
        <v>#VALUE!</v>
      </c>
      <c r="Q189" s="340" t="e">
        <f t="shared" si="27"/>
        <v>#VALUE!</v>
      </c>
      <c r="R189" s="340">
        <f t="shared" ca="1" si="28"/>
        <v>2013</v>
      </c>
      <c r="S189" s="340">
        <f t="shared" ca="1" si="29"/>
        <v>1</v>
      </c>
      <c r="T189" s="340">
        <f t="shared" ca="1" si="30"/>
        <v>10</v>
      </c>
      <c r="U189" s="357" t="str">
        <f t="shared" si="31"/>
        <v>-</v>
      </c>
    </row>
    <row r="190" spans="1:21" x14ac:dyDescent="0.2">
      <c r="A190" s="77" t="s">
        <v>136</v>
      </c>
      <c r="B190" s="176" t="s">
        <v>136</v>
      </c>
      <c r="C190" s="177" t="s">
        <v>136</v>
      </c>
      <c r="D190" s="178">
        <v>0</v>
      </c>
      <c r="E190" s="178">
        <v>0</v>
      </c>
      <c r="F190" s="179">
        <v>0</v>
      </c>
      <c r="G190" s="77">
        <v>0</v>
      </c>
      <c r="H190" s="78">
        <f t="shared" si="32"/>
        <v>0</v>
      </c>
      <c r="I190" s="78">
        <f t="shared" si="33"/>
        <v>0</v>
      </c>
      <c r="J190" s="77">
        <v>0</v>
      </c>
      <c r="K190" s="77">
        <v>0</v>
      </c>
      <c r="L190" s="78">
        <f t="shared" si="34"/>
        <v>0</v>
      </c>
      <c r="M190" s="174">
        <f t="shared" si="35"/>
        <v>0</v>
      </c>
      <c r="N190" s="339">
        <f t="shared" ca="1" si="24"/>
        <v>41284.323380902781</v>
      </c>
      <c r="O190" s="340" t="e">
        <f t="shared" si="25"/>
        <v>#VALUE!</v>
      </c>
      <c r="P190" s="340" t="e">
        <f t="shared" si="26"/>
        <v>#VALUE!</v>
      </c>
      <c r="Q190" s="340" t="e">
        <f t="shared" si="27"/>
        <v>#VALUE!</v>
      </c>
      <c r="R190" s="340">
        <f t="shared" ca="1" si="28"/>
        <v>2013</v>
      </c>
      <c r="S190" s="340">
        <f t="shared" ca="1" si="29"/>
        <v>1</v>
      </c>
      <c r="T190" s="340">
        <f t="shared" ca="1" si="30"/>
        <v>10</v>
      </c>
      <c r="U190" s="357" t="str">
        <f t="shared" si="31"/>
        <v>-</v>
      </c>
    </row>
    <row r="191" spans="1:21" x14ac:dyDescent="0.2">
      <c r="A191" s="77" t="s">
        <v>136</v>
      </c>
      <c r="B191" s="176" t="s">
        <v>136</v>
      </c>
      <c r="C191" s="177" t="s">
        <v>136</v>
      </c>
      <c r="D191" s="178">
        <v>0</v>
      </c>
      <c r="E191" s="178">
        <v>0</v>
      </c>
      <c r="F191" s="179">
        <v>0</v>
      </c>
      <c r="G191" s="77">
        <v>0</v>
      </c>
      <c r="H191" s="78">
        <f t="shared" si="32"/>
        <v>0</v>
      </c>
      <c r="I191" s="78">
        <f t="shared" si="33"/>
        <v>0</v>
      </c>
      <c r="J191" s="77">
        <v>0</v>
      </c>
      <c r="K191" s="77">
        <v>0</v>
      </c>
      <c r="L191" s="78">
        <f t="shared" si="34"/>
        <v>0</v>
      </c>
      <c r="M191" s="174">
        <f t="shared" si="35"/>
        <v>0</v>
      </c>
      <c r="N191" s="339">
        <f t="shared" ca="1" si="24"/>
        <v>41284.323380902781</v>
      </c>
      <c r="O191" s="340" t="e">
        <f t="shared" si="25"/>
        <v>#VALUE!</v>
      </c>
      <c r="P191" s="340" t="e">
        <f t="shared" si="26"/>
        <v>#VALUE!</v>
      </c>
      <c r="Q191" s="340" t="e">
        <f t="shared" si="27"/>
        <v>#VALUE!</v>
      </c>
      <c r="R191" s="340">
        <f t="shared" ca="1" si="28"/>
        <v>2013</v>
      </c>
      <c r="S191" s="340">
        <f t="shared" ca="1" si="29"/>
        <v>1</v>
      </c>
      <c r="T191" s="340">
        <f t="shared" ca="1" si="30"/>
        <v>10</v>
      </c>
      <c r="U191" s="357" t="str">
        <f t="shared" si="31"/>
        <v>-</v>
      </c>
    </row>
    <row r="192" spans="1:21" x14ac:dyDescent="0.2">
      <c r="A192" s="77" t="s">
        <v>136</v>
      </c>
      <c r="B192" s="176" t="s">
        <v>136</v>
      </c>
      <c r="C192" s="177" t="s">
        <v>136</v>
      </c>
      <c r="D192" s="178">
        <v>0</v>
      </c>
      <c r="E192" s="178">
        <v>0</v>
      </c>
      <c r="F192" s="179">
        <v>0</v>
      </c>
      <c r="G192" s="77">
        <v>0</v>
      </c>
      <c r="H192" s="78">
        <f t="shared" si="32"/>
        <v>0</v>
      </c>
      <c r="I192" s="78">
        <f t="shared" si="33"/>
        <v>0</v>
      </c>
      <c r="J192" s="77">
        <v>0</v>
      </c>
      <c r="K192" s="77">
        <v>0</v>
      </c>
      <c r="L192" s="78">
        <f t="shared" si="34"/>
        <v>0</v>
      </c>
      <c r="M192" s="174">
        <f t="shared" si="35"/>
        <v>0</v>
      </c>
      <c r="N192" s="339">
        <f t="shared" ca="1" si="24"/>
        <v>41284.323380902781</v>
      </c>
      <c r="O192" s="340" t="e">
        <f t="shared" si="25"/>
        <v>#VALUE!</v>
      </c>
      <c r="P192" s="340" t="e">
        <f t="shared" si="26"/>
        <v>#VALUE!</v>
      </c>
      <c r="Q192" s="340" t="e">
        <f t="shared" si="27"/>
        <v>#VALUE!</v>
      </c>
      <c r="R192" s="340">
        <f t="shared" ca="1" si="28"/>
        <v>2013</v>
      </c>
      <c r="S192" s="340">
        <f t="shared" ca="1" si="29"/>
        <v>1</v>
      </c>
      <c r="T192" s="340">
        <f t="shared" ca="1" si="30"/>
        <v>10</v>
      </c>
      <c r="U192" s="357" t="str">
        <f t="shared" si="31"/>
        <v>-</v>
      </c>
    </row>
    <row r="193" spans="1:21" x14ac:dyDescent="0.2">
      <c r="A193" s="77" t="s">
        <v>136</v>
      </c>
      <c r="B193" s="176" t="s">
        <v>136</v>
      </c>
      <c r="C193" s="177" t="s">
        <v>136</v>
      </c>
      <c r="D193" s="178">
        <v>0</v>
      </c>
      <c r="E193" s="178">
        <v>0</v>
      </c>
      <c r="F193" s="179">
        <v>0</v>
      </c>
      <c r="G193" s="77">
        <v>0</v>
      </c>
      <c r="H193" s="78">
        <f t="shared" si="32"/>
        <v>0</v>
      </c>
      <c r="I193" s="78">
        <f t="shared" si="33"/>
        <v>0</v>
      </c>
      <c r="J193" s="77">
        <v>0</v>
      </c>
      <c r="K193" s="77">
        <v>0</v>
      </c>
      <c r="L193" s="78">
        <f t="shared" si="34"/>
        <v>0</v>
      </c>
      <c r="M193" s="174">
        <f t="shared" si="35"/>
        <v>0</v>
      </c>
      <c r="N193" s="339">
        <f t="shared" ca="1" si="24"/>
        <v>41284.323380902781</v>
      </c>
      <c r="O193" s="340" t="e">
        <f t="shared" si="25"/>
        <v>#VALUE!</v>
      </c>
      <c r="P193" s="340" t="e">
        <f t="shared" si="26"/>
        <v>#VALUE!</v>
      </c>
      <c r="Q193" s="340" t="e">
        <f t="shared" si="27"/>
        <v>#VALUE!</v>
      </c>
      <c r="R193" s="340">
        <f t="shared" ca="1" si="28"/>
        <v>2013</v>
      </c>
      <c r="S193" s="340">
        <f t="shared" ca="1" si="29"/>
        <v>1</v>
      </c>
      <c r="T193" s="340">
        <f t="shared" ca="1" si="30"/>
        <v>10</v>
      </c>
      <c r="U193" s="357" t="str">
        <f t="shared" si="31"/>
        <v>-</v>
      </c>
    </row>
    <row r="194" spans="1:21" x14ac:dyDescent="0.2">
      <c r="A194" s="77" t="s">
        <v>136</v>
      </c>
      <c r="B194" s="176" t="s">
        <v>136</v>
      </c>
      <c r="C194" s="177" t="s">
        <v>136</v>
      </c>
      <c r="D194" s="178">
        <v>0</v>
      </c>
      <c r="E194" s="178">
        <v>0</v>
      </c>
      <c r="F194" s="179">
        <v>0</v>
      </c>
      <c r="G194" s="77">
        <v>0</v>
      </c>
      <c r="H194" s="78">
        <f t="shared" si="32"/>
        <v>0</v>
      </c>
      <c r="I194" s="78">
        <f t="shared" si="33"/>
        <v>0</v>
      </c>
      <c r="J194" s="77">
        <v>0</v>
      </c>
      <c r="K194" s="77">
        <v>0</v>
      </c>
      <c r="L194" s="78">
        <f t="shared" si="34"/>
        <v>0</v>
      </c>
      <c r="M194" s="174">
        <f t="shared" si="35"/>
        <v>0</v>
      </c>
      <c r="N194" s="339">
        <f t="shared" ca="1" si="24"/>
        <v>41284.323380902781</v>
      </c>
      <c r="O194" s="340" t="e">
        <f t="shared" si="25"/>
        <v>#VALUE!</v>
      </c>
      <c r="P194" s="340" t="e">
        <f t="shared" si="26"/>
        <v>#VALUE!</v>
      </c>
      <c r="Q194" s="340" t="e">
        <f t="shared" si="27"/>
        <v>#VALUE!</v>
      </c>
      <c r="R194" s="340">
        <f t="shared" ca="1" si="28"/>
        <v>2013</v>
      </c>
      <c r="S194" s="340">
        <f t="shared" ca="1" si="29"/>
        <v>1</v>
      </c>
      <c r="T194" s="340">
        <f t="shared" ca="1" si="30"/>
        <v>10</v>
      </c>
      <c r="U194" s="357" t="str">
        <f t="shared" si="31"/>
        <v>-</v>
      </c>
    </row>
    <row r="195" spans="1:21" x14ac:dyDescent="0.2">
      <c r="A195" s="77" t="s">
        <v>136</v>
      </c>
      <c r="B195" s="176" t="s">
        <v>136</v>
      </c>
      <c r="C195" s="177" t="s">
        <v>136</v>
      </c>
      <c r="D195" s="178">
        <v>0</v>
      </c>
      <c r="E195" s="178">
        <v>0</v>
      </c>
      <c r="F195" s="179">
        <v>0</v>
      </c>
      <c r="G195" s="77">
        <v>0</v>
      </c>
      <c r="H195" s="78">
        <f t="shared" si="32"/>
        <v>0</v>
      </c>
      <c r="I195" s="78">
        <f t="shared" si="33"/>
        <v>0</v>
      </c>
      <c r="J195" s="77">
        <v>0</v>
      </c>
      <c r="K195" s="77">
        <v>0</v>
      </c>
      <c r="L195" s="78">
        <f t="shared" si="34"/>
        <v>0</v>
      </c>
      <c r="M195" s="174">
        <f t="shared" si="35"/>
        <v>0</v>
      </c>
      <c r="N195" s="339">
        <f t="shared" ca="1" si="24"/>
        <v>41284.323380902781</v>
      </c>
      <c r="O195" s="340" t="e">
        <f t="shared" si="25"/>
        <v>#VALUE!</v>
      </c>
      <c r="P195" s="340" t="e">
        <f t="shared" si="26"/>
        <v>#VALUE!</v>
      </c>
      <c r="Q195" s="340" t="e">
        <f t="shared" si="27"/>
        <v>#VALUE!</v>
      </c>
      <c r="R195" s="340">
        <f t="shared" ca="1" si="28"/>
        <v>2013</v>
      </c>
      <c r="S195" s="340">
        <f t="shared" ca="1" si="29"/>
        <v>1</v>
      </c>
      <c r="T195" s="340">
        <f t="shared" ca="1" si="30"/>
        <v>10</v>
      </c>
      <c r="U195" s="357" t="str">
        <f t="shared" si="31"/>
        <v>-</v>
      </c>
    </row>
    <row r="196" spans="1:21" x14ac:dyDescent="0.2">
      <c r="A196" s="77" t="s">
        <v>136</v>
      </c>
      <c r="B196" s="176" t="s">
        <v>136</v>
      </c>
      <c r="C196" s="177" t="s">
        <v>136</v>
      </c>
      <c r="D196" s="178">
        <v>0</v>
      </c>
      <c r="E196" s="178">
        <v>0</v>
      </c>
      <c r="F196" s="179">
        <v>0</v>
      </c>
      <c r="G196" s="77">
        <v>0</v>
      </c>
      <c r="H196" s="78">
        <f t="shared" si="32"/>
        <v>0</v>
      </c>
      <c r="I196" s="78">
        <f t="shared" si="33"/>
        <v>0</v>
      </c>
      <c r="J196" s="77">
        <v>0</v>
      </c>
      <c r="K196" s="77">
        <v>0</v>
      </c>
      <c r="L196" s="78">
        <f t="shared" si="34"/>
        <v>0</v>
      </c>
      <c r="M196" s="174">
        <f t="shared" si="35"/>
        <v>0</v>
      </c>
      <c r="N196" s="339">
        <f t="shared" ca="1" si="24"/>
        <v>41284.323380902781</v>
      </c>
      <c r="O196" s="340" t="e">
        <f t="shared" si="25"/>
        <v>#VALUE!</v>
      </c>
      <c r="P196" s="340" t="e">
        <f t="shared" si="26"/>
        <v>#VALUE!</v>
      </c>
      <c r="Q196" s="340" t="e">
        <f t="shared" si="27"/>
        <v>#VALUE!</v>
      </c>
      <c r="R196" s="340">
        <f t="shared" ca="1" si="28"/>
        <v>2013</v>
      </c>
      <c r="S196" s="340">
        <f t="shared" ca="1" si="29"/>
        <v>1</v>
      </c>
      <c r="T196" s="340">
        <f t="shared" ca="1" si="30"/>
        <v>10</v>
      </c>
      <c r="U196" s="357" t="str">
        <f t="shared" si="31"/>
        <v>-</v>
      </c>
    </row>
    <row r="197" spans="1:21" x14ac:dyDescent="0.2">
      <c r="A197" s="77" t="s">
        <v>136</v>
      </c>
      <c r="B197" s="176" t="s">
        <v>136</v>
      </c>
      <c r="C197" s="177" t="s">
        <v>136</v>
      </c>
      <c r="D197" s="178">
        <v>0</v>
      </c>
      <c r="E197" s="178">
        <v>0</v>
      </c>
      <c r="F197" s="179">
        <v>0</v>
      </c>
      <c r="G197" s="77">
        <v>0</v>
      </c>
      <c r="H197" s="78">
        <f t="shared" si="32"/>
        <v>0</v>
      </c>
      <c r="I197" s="78">
        <f t="shared" si="33"/>
        <v>0</v>
      </c>
      <c r="J197" s="77">
        <v>0</v>
      </c>
      <c r="K197" s="77">
        <v>0</v>
      </c>
      <c r="L197" s="78">
        <f t="shared" si="34"/>
        <v>0</v>
      </c>
      <c r="M197" s="174">
        <f t="shared" si="35"/>
        <v>0</v>
      </c>
      <c r="N197" s="339">
        <f t="shared" ca="1" si="24"/>
        <v>41284.323380902781</v>
      </c>
      <c r="O197" s="340" t="e">
        <f t="shared" si="25"/>
        <v>#VALUE!</v>
      </c>
      <c r="P197" s="340" t="e">
        <f t="shared" si="26"/>
        <v>#VALUE!</v>
      </c>
      <c r="Q197" s="340" t="e">
        <f t="shared" si="27"/>
        <v>#VALUE!</v>
      </c>
      <c r="R197" s="340">
        <f t="shared" ca="1" si="28"/>
        <v>2013</v>
      </c>
      <c r="S197" s="340">
        <f t="shared" ca="1" si="29"/>
        <v>1</v>
      </c>
      <c r="T197" s="340">
        <f t="shared" ca="1" si="30"/>
        <v>10</v>
      </c>
      <c r="U197" s="357" t="str">
        <f t="shared" si="31"/>
        <v>-</v>
      </c>
    </row>
    <row r="198" spans="1:21" x14ac:dyDescent="0.2">
      <c r="A198" s="77" t="s">
        <v>136</v>
      </c>
      <c r="B198" s="176" t="s">
        <v>136</v>
      </c>
      <c r="C198" s="177" t="s">
        <v>136</v>
      </c>
      <c r="D198" s="178">
        <v>0</v>
      </c>
      <c r="E198" s="178">
        <v>0</v>
      </c>
      <c r="F198" s="179">
        <v>0</v>
      </c>
      <c r="G198" s="77">
        <v>0</v>
      </c>
      <c r="H198" s="78">
        <f t="shared" si="32"/>
        <v>0</v>
      </c>
      <c r="I198" s="78">
        <f t="shared" si="33"/>
        <v>0</v>
      </c>
      <c r="J198" s="77">
        <v>0</v>
      </c>
      <c r="K198" s="77">
        <v>0</v>
      </c>
      <c r="L198" s="78">
        <f t="shared" si="34"/>
        <v>0</v>
      </c>
      <c r="M198" s="174">
        <f t="shared" si="35"/>
        <v>0</v>
      </c>
      <c r="N198" s="339">
        <f t="shared" ca="1" si="24"/>
        <v>41284.323380902781</v>
      </c>
      <c r="O198" s="340" t="e">
        <f t="shared" si="25"/>
        <v>#VALUE!</v>
      </c>
      <c r="P198" s="340" t="e">
        <f t="shared" si="26"/>
        <v>#VALUE!</v>
      </c>
      <c r="Q198" s="340" t="e">
        <f t="shared" si="27"/>
        <v>#VALUE!</v>
      </c>
      <c r="R198" s="340">
        <f t="shared" ca="1" si="28"/>
        <v>2013</v>
      </c>
      <c r="S198" s="340">
        <f t="shared" ca="1" si="29"/>
        <v>1</v>
      </c>
      <c r="T198" s="340">
        <f t="shared" ca="1" si="30"/>
        <v>10</v>
      </c>
      <c r="U198" s="357" t="str">
        <f t="shared" si="31"/>
        <v>-</v>
      </c>
    </row>
    <row r="199" spans="1:21" x14ac:dyDescent="0.2">
      <c r="A199" s="77" t="s">
        <v>136</v>
      </c>
      <c r="B199" s="176" t="s">
        <v>136</v>
      </c>
      <c r="C199" s="177" t="s">
        <v>136</v>
      </c>
      <c r="D199" s="178">
        <v>0</v>
      </c>
      <c r="E199" s="178">
        <v>0</v>
      </c>
      <c r="F199" s="179">
        <v>0</v>
      </c>
      <c r="G199" s="77">
        <v>0</v>
      </c>
      <c r="H199" s="78">
        <f t="shared" si="32"/>
        <v>0</v>
      </c>
      <c r="I199" s="78">
        <f t="shared" si="33"/>
        <v>0</v>
      </c>
      <c r="J199" s="77">
        <v>0</v>
      </c>
      <c r="K199" s="77">
        <v>0</v>
      </c>
      <c r="L199" s="78">
        <f t="shared" si="34"/>
        <v>0</v>
      </c>
      <c r="M199" s="174">
        <f t="shared" si="35"/>
        <v>0</v>
      </c>
      <c r="N199" s="339">
        <f t="shared" ca="1" si="24"/>
        <v>41284.323380902781</v>
      </c>
      <c r="O199" s="340" t="e">
        <f t="shared" si="25"/>
        <v>#VALUE!</v>
      </c>
      <c r="P199" s="340" t="e">
        <f t="shared" si="26"/>
        <v>#VALUE!</v>
      </c>
      <c r="Q199" s="340" t="e">
        <f t="shared" si="27"/>
        <v>#VALUE!</v>
      </c>
      <c r="R199" s="340">
        <f t="shared" ca="1" si="28"/>
        <v>2013</v>
      </c>
      <c r="S199" s="340">
        <f t="shared" ca="1" si="29"/>
        <v>1</v>
      </c>
      <c r="T199" s="340">
        <f t="shared" ca="1" si="30"/>
        <v>10</v>
      </c>
      <c r="U199" s="357" t="str">
        <f t="shared" si="31"/>
        <v>-</v>
      </c>
    </row>
    <row r="200" spans="1:21" x14ac:dyDescent="0.2">
      <c r="A200" s="77" t="s">
        <v>136</v>
      </c>
      <c r="B200" s="176" t="s">
        <v>136</v>
      </c>
      <c r="C200" s="177" t="s">
        <v>136</v>
      </c>
      <c r="D200" s="178">
        <v>0</v>
      </c>
      <c r="E200" s="178">
        <v>0</v>
      </c>
      <c r="F200" s="179">
        <v>0</v>
      </c>
      <c r="G200" s="77">
        <v>0</v>
      </c>
      <c r="H200" s="78">
        <f t="shared" si="32"/>
        <v>0</v>
      </c>
      <c r="I200" s="78">
        <f t="shared" si="33"/>
        <v>0</v>
      </c>
      <c r="J200" s="77">
        <v>0</v>
      </c>
      <c r="K200" s="77">
        <v>0</v>
      </c>
      <c r="L200" s="78">
        <f t="shared" si="34"/>
        <v>0</v>
      </c>
      <c r="M200" s="174">
        <f t="shared" si="35"/>
        <v>0</v>
      </c>
      <c r="N200" s="339">
        <f t="shared" ca="1" si="24"/>
        <v>41284.323380902781</v>
      </c>
      <c r="O200" s="340" t="e">
        <f t="shared" si="25"/>
        <v>#VALUE!</v>
      </c>
      <c r="P200" s="340" t="e">
        <f t="shared" si="26"/>
        <v>#VALUE!</v>
      </c>
      <c r="Q200" s="340" t="e">
        <f t="shared" si="27"/>
        <v>#VALUE!</v>
      </c>
      <c r="R200" s="340">
        <f t="shared" ca="1" si="28"/>
        <v>2013</v>
      </c>
      <c r="S200" s="340">
        <f t="shared" ca="1" si="29"/>
        <v>1</v>
      </c>
      <c r="T200" s="340">
        <f t="shared" ca="1" si="30"/>
        <v>10</v>
      </c>
      <c r="U200" s="357" t="str">
        <f t="shared" si="31"/>
        <v>-</v>
      </c>
    </row>
    <row r="201" spans="1:21" x14ac:dyDescent="0.2">
      <c r="A201" s="77" t="s">
        <v>136</v>
      </c>
      <c r="B201" s="176" t="s">
        <v>136</v>
      </c>
      <c r="C201" s="177" t="s">
        <v>136</v>
      </c>
      <c r="D201" s="178">
        <v>0</v>
      </c>
      <c r="E201" s="178">
        <v>0</v>
      </c>
      <c r="F201" s="179">
        <v>0</v>
      </c>
      <c r="G201" s="77">
        <v>0</v>
      </c>
      <c r="H201" s="78">
        <f t="shared" si="32"/>
        <v>0</v>
      </c>
      <c r="I201" s="78">
        <f t="shared" si="33"/>
        <v>0</v>
      </c>
      <c r="J201" s="77">
        <v>0</v>
      </c>
      <c r="K201" s="77">
        <v>0</v>
      </c>
      <c r="L201" s="78">
        <f t="shared" si="34"/>
        <v>0</v>
      </c>
      <c r="M201" s="174">
        <f t="shared" si="35"/>
        <v>0</v>
      </c>
      <c r="N201" s="339">
        <f t="shared" ref="N201:N213" ca="1" si="36">NOW()</f>
        <v>41284.323380902781</v>
      </c>
      <c r="O201" s="340" t="e">
        <f t="shared" ref="O201:O213" si="37">YEAR(C201)</f>
        <v>#VALUE!</v>
      </c>
      <c r="P201" s="340" t="e">
        <f t="shared" ref="P201:P213" si="38">DAY(C201)</f>
        <v>#VALUE!</v>
      </c>
      <c r="Q201" s="340" t="e">
        <f t="shared" ref="Q201:Q213" si="39">MONTH(C201)</f>
        <v>#VALUE!</v>
      </c>
      <c r="R201" s="340">
        <f t="shared" ref="R201:R213" ca="1" si="40">YEAR(N201)</f>
        <v>2013</v>
      </c>
      <c r="S201" s="340">
        <f t="shared" ref="S201:S213" ca="1" si="41">MONTH(N201)</f>
        <v>1</v>
      </c>
      <c r="T201" s="340">
        <f t="shared" ref="T201:T213" ca="1" si="42">DAY(N201)</f>
        <v>10</v>
      </c>
      <c r="U201" s="357" t="str">
        <f t="shared" ref="U201:U213" si="43">IF(C201="-","-",RIGHT("00"&amp;P201,2)&amp;"/"&amp;RIGHT("00"&amp;Q201,2)&amp;"/"&amp;R201)</f>
        <v>-</v>
      </c>
    </row>
    <row r="202" spans="1:21" x14ac:dyDescent="0.2">
      <c r="A202" s="77" t="s">
        <v>136</v>
      </c>
      <c r="B202" s="176" t="s">
        <v>136</v>
      </c>
      <c r="C202" s="177" t="s">
        <v>136</v>
      </c>
      <c r="D202" s="178">
        <v>0</v>
      </c>
      <c r="E202" s="178">
        <v>0</v>
      </c>
      <c r="F202" s="179">
        <v>0</v>
      </c>
      <c r="G202" s="77">
        <v>0</v>
      </c>
      <c r="H202" s="78">
        <f t="shared" si="32"/>
        <v>0</v>
      </c>
      <c r="I202" s="78">
        <f t="shared" si="33"/>
        <v>0</v>
      </c>
      <c r="J202" s="77">
        <v>0</v>
      </c>
      <c r="K202" s="77">
        <v>0</v>
      </c>
      <c r="L202" s="78">
        <f t="shared" si="34"/>
        <v>0</v>
      </c>
      <c r="M202" s="174">
        <f t="shared" si="35"/>
        <v>0</v>
      </c>
      <c r="N202" s="339">
        <f t="shared" ca="1" si="36"/>
        <v>41284.323380902781</v>
      </c>
      <c r="O202" s="340" t="e">
        <f t="shared" si="37"/>
        <v>#VALUE!</v>
      </c>
      <c r="P202" s="340" t="e">
        <f t="shared" si="38"/>
        <v>#VALUE!</v>
      </c>
      <c r="Q202" s="340" t="e">
        <f t="shared" si="39"/>
        <v>#VALUE!</v>
      </c>
      <c r="R202" s="340">
        <f t="shared" ca="1" si="40"/>
        <v>2013</v>
      </c>
      <c r="S202" s="340">
        <f t="shared" ca="1" si="41"/>
        <v>1</v>
      </c>
      <c r="T202" s="340">
        <f t="shared" ca="1" si="42"/>
        <v>10</v>
      </c>
      <c r="U202" s="357" t="str">
        <f t="shared" si="43"/>
        <v>-</v>
      </c>
    </row>
    <row r="203" spans="1:21" x14ac:dyDescent="0.2">
      <c r="A203" s="77" t="s">
        <v>136</v>
      </c>
      <c r="B203" s="176" t="s">
        <v>136</v>
      </c>
      <c r="C203" s="177" t="s">
        <v>136</v>
      </c>
      <c r="D203" s="178">
        <v>0</v>
      </c>
      <c r="E203" s="178">
        <v>0</v>
      </c>
      <c r="F203" s="179">
        <v>0</v>
      </c>
      <c r="G203" s="77">
        <v>0</v>
      </c>
      <c r="H203" s="78">
        <f t="shared" si="32"/>
        <v>0</v>
      </c>
      <c r="I203" s="78">
        <f t="shared" si="33"/>
        <v>0</v>
      </c>
      <c r="J203" s="77">
        <v>0</v>
      </c>
      <c r="K203" s="77">
        <v>0</v>
      </c>
      <c r="L203" s="78">
        <f t="shared" si="34"/>
        <v>0</v>
      </c>
      <c r="M203" s="174">
        <f t="shared" si="35"/>
        <v>0</v>
      </c>
      <c r="N203" s="339">
        <f t="shared" ca="1" si="36"/>
        <v>41284.323380902781</v>
      </c>
      <c r="O203" s="340" t="e">
        <f t="shared" si="37"/>
        <v>#VALUE!</v>
      </c>
      <c r="P203" s="340" t="e">
        <f t="shared" si="38"/>
        <v>#VALUE!</v>
      </c>
      <c r="Q203" s="340" t="e">
        <f t="shared" si="39"/>
        <v>#VALUE!</v>
      </c>
      <c r="R203" s="340">
        <f t="shared" ca="1" si="40"/>
        <v>2013</v>
      </c>
      <c r="S203" s="340">
        <f t="shared" ca="1" si="41"/>
        <v>1</v>
      </c>
      <c r="T203" s="340">
        <f t="shared" ca="1" si="42"/>
        <v>10</v>
      </c>
      <c r="U203" s="357" t="str">
        <f t="shared" si="43"/>
        <v>-</v>
      </c>
    </row>
    <row r="204" spans="1:21" x14ac:dyDescent="0.2">
      <c r="A204" s="77" t="s">
        <v>136</v>
      </c>
      <c r="B204" s="176" t="s">
        <v>136</v>
      </c>
      <c r="C204" s="177" t="s">
        <v>136</v>
      </c>
      <c r="D204" s="178">
        <v>0</v>
      </c>
      <c r="E204" s="178">
        <v>0</v>
      </c>
      <c r="F204" s="179">
        <v>0</v>
      </c>
      <c r="G204" s="77">
        <v>0</v>
      </c>
      <c r="H204" s="78">
        <f t="shared" si="32"/>
        <v>0</v>
      </c>
      <c r="I204" s="78">
        <f t="shared" si="33"/>
        <v>0</v>
      </c>
      <c r="J204" s="77">
        <v>0</v>
      </c>
      <c r="K204" s="77">
        <v>0</v>
      </c>
      <c r="L204" s="78">
        <f t="shared" si="34"/>
        <v>0</v>
      </c>
      <c r="M204" s="174">
        <f t="shared" si="35"/>
        <v>0</v>
      </c>
      <c r="N204" s="339">
        <f t="shared" ca="1" si="36"/>
        <v>41284.323380902781</v>
      </c>
      <c r="O204" s="340" t="e">
        <f t="shared" si="37"/>
        <v>#VALUE!</v>
      </c>
      <c r="P204" s="340" t="e">
        <f t="shared" si="38"/>
        <v>#VALUE!</v>
      </c>
      <c r="Q204" s="340" t="e">
        <f t="shared" si="39"/>
        <v>#VALUE!</v>
      </c>
      <c r="R204" s="340">
        <f t="shared" ca="1" si="40"/>
        <v>2013</v>
      </c>
      <c r="S204" s="340">
        <f t="shared" ca="1" si="41"/>
        <v>1</v>
      </c>
      <c r="T204" s="340">
        <f t="shared" ca="1" si="42"/>
        <v>10</v>
      </c>
      <c r="U204" s="357" t="str">
        <f t="shared" si="43"/>
        <v>-</v>
      </c>
    </row>
    <row r="205" spans="1:21" x14ac:dyDescent="0.2">
      <c r="A205" s="77" t="s">
        <v>136</v>
      </c>
      <c r="B205" s="176" t="s">
        <v>136</v>
      </c>
      <c r="C205" s="177" t="s">
        <v>136</v>
      </c>
      <c r="D205" s="178">
        <v>0</v>
      </c>
      <c r="E205" s="178">
        <v>0</v>
      </c>
      <c r="F205" s="179">
        <v>0</v>
      </c>
      <c r="G205" s="77">
        <v>0</v>
      </c>
      <c r="H205" s="78">
        <f t="shared" ref="H205:H213" si="44">ROUND((G205*E205)/365,2)</f>
        <v>0</v>
      </c>
      <c r="I205" s="78">
        <f t="shared" ref="I205:I213" si="45">ROUND(((G205*D205)*F205)/365,2)</f>
        <v>0</v>
      </c>
      <c r="J205" s="77">
        <v>0</v>
      </c>
      <c r="K205" s="77">
        <v>0</v>
      </c>
      <c r="L205" s="78">
        <f t="shared" ref="L205:L213" si="46">SUM(G205:K205)</f>
        <v>0</v>
      </c>
      <c r="M205" s="174">
        <f t="shared" ref="M205:M213" si="47">IF(G205=0,0,ROUND(L205/G205,4))</f>
        <v>0</v>
      </c>
      <c r="N205" s="339">
        <f t="shared" ca="1" si="36"/>
        <v>41284.323380902781</v>
      </c>
      <c r="O205" s="340" t="e">
        <f t="shared" si="37"/>
        <v>#VALUE!</v>
      </c>
      <c r="P205" s="340" t="e">
        <f t="shared" si="38"/>
        <v>#VALUE!</v>
      </c>
      <c r="Q205" s="340" t="e">
        <f t="shared" si="39"/>
        <v>#VALUE!</v>
      </c>
      <c r="R205" s="340">
        <f t="shared" ca="1" si="40"/>
        <v>2013</v>
      </c>
      <c r="S205" s="340">
        <f t="shared" ca="1" si="41"/>
        <v>1</v>
      </c>
      <c r="T205" s="340">
        <f t="shared" ca="1" si="42"/>
        <v>10</v>
      </c>
      <c r="U205" s="357" t="str">
        <f t="shared" si="43"/>
        <v>-</v>
      </c>
    </row>
    <row r="206" spans="1:21" x14ac:dyDescent="0.2">
      <c r="A206" s="77" t="s">
        <v>136</v>
      </c>
      <c r="B206" s="176" t="s">
        <v>136</v>
      </c>
      <c r="C206" s="177" t="s">
        <v>136</v>
      </c>
      <c r="D206" s="178">
        <v>0</v>
      </c>
      <c r="E206" s="178">
        <v>0</v>
      </c>
      <c r="F206" s="179">
        <v>0</v>
      </c>
      <c r="G206" s="77">
        <v>0</v>
      </c>
      <c r="H206" s="78">
        <f t="shared" si="44"/>
        <v>0</v>
      </c>
      <c r="I206" s="78">
        <f t="shared" si="45"/>
        <v>0</v>
      </c>
      <c r="J206" s="77">
        <v>0</v>
      </c>
      <c r="K206" s="77">
        <v>0</v>
      </c>
      <c r="L206" s="78">
        <f t="shared" si="46"/>
        <v>0</v>
      </c>
      <c r="M206" s="174">
        <f t="shared" si="47"/>
        <v>0</v>
      </c>
      <c r="N206" s="339">
        <f t="shared" ca="1" si="36"/>
        <v>41284.323380902781</v>
      </c>
      <c r="O206" s="340" t="e">
        <f t="shared" si="37"/>
        <v>#VALUE!</v>
      </c>
      <c r="P206" s="340" t="e">
        <f t="shared" si="38"/>
        <v>#VALUE!</v>
      </c>
      <c r="Q206" s="340" t="e">
        <f t="shared" si="39"/>
        <v>#VALUE!</v>
      </c>
      <c r="R206" s="340">
        <f t="shared" ca="1" si="40"/>
        <v>2013</v>
      </c>
      <c r="S206" s="340">
        <f t="shared" ca="1" si="41"/>
        <v>1</v>
      </c>
      <c r="T206" s="340">
        <f t="shared" ca="1" si="42"/>
        <v>10</v>
      </c>
      <c r="U206" s="357" t="str">
        <f t="shared" si="43"/>
        <v>-</v>
      </c>
    </row>
    <row r="207" spans="1:21" x14ac:dyDescent="0.2">
      <c r="A207" s="77" t="s">
        <v>136</v>
      </c>
      <c r="B207" s="176" t="s">
        <v>136</v>
      </c>
      <c r="C207" s="177" t="s">
        <v>136</v>
      </c>
      <c r="D207" s="178">
        <v>0</v>
      </c>
      <c r="E207" s="178">
        <v>0</v>
      </c>
      <c r="F207" s="179">
        <v>0</v>
      </c>
      <c r="G207" s="77">
        <v>0</v>
      </c>
      <c r="H207" s="78">
        <f t="shared" si="44"/>
        <v>0</v>
      </c>
      <c r="I207" s="78">
        <f t="shared" si="45"/>
        <v>0</v>
      </c>
      <c r="J207" s="77">
        <v>0</v>
      </c>
      <c r="K207" s="77">
        <v>0</v>
      </c>
      <c r="L207" s="78">
        <f t="shared" si="46"/>
        <v>0</v>
      </c>
      <c r="M207" s="174">
        <f t="shared" si="47"/>
        <v>0</v>
      </c>
      <c r="N207" s="339">
        <f t="shared" ca="1" si="36"/>
        <v>41284.323380902781</v>
      </c>
      <c r="O207" s="340" t="e">
        <f t="shared" si="37"/>
        <v>#VALUE!</v>
      </c>
      <c r="P207" s="340" t="e">
        <f t="shared" si="38"/>
        <v>#VALUE!</v>
      </c>
      <c r="Q207" s="340" t="e">
        <f t="shared" si="39"/>
        <v>#VALUE!</v>
      </c>
      <c r="R207" s="340">
        <f t="shared" ca="1" si="40"/>
        <v>2013</v>
      </c>
      <c r="S207" s="340">
        <f t="shared" ca="1" si="41"/>
        <v>1</v>
      </c>
      <c r="T207" s="340">
        <f t="shared" ca="1" si="42"/>
        <v>10</v>
      </c>
      <c r="U207" s="357" t="str">
        <f t="shared" si="43"/>
        <v>-</v>
      </c>
    </row>
    <row r="208" spans="1:21" x14ac:dyDescent="0.2">
      <c r="A208" s="77" t="s">
        <v>136</v>
      </c>
      <c r="B208" s="176" t="s">
        <v>136</v>
      </c>
      <c r="C208" s="177" t="s">
        <v>136</v>
      </c>
      <c r="D208" s="178">
        <v>0</v>
      </c>
      <c r="E208" s="178">
        <v>0</v>
      </c>
      <c r="F208" s="179">
        <v>0</v>
      </c>
      <c r="G208" s="77">
        <v>0</v>
      </c>
      <c r="H208" s="78">
        <f t="shared" si="44"/>
        <v>0</v>
      </c>
      <c r="I208" s="78">
        <f t="shared" si="45"/>
        <v>0</v>
      </c>
      <c r="J208" s="77">
        <v>0</v>
      </c>
      <c r="K208" s="77">
        <v>0</v>
      </c>
      <c r="L208" s="78">
        <f t="shared" si="46"/>
        <v>0</v>
      </c>
      <c r="M208" s="174">
        <f t="shared" si="47"/>
        <v>0</v>
      </c>
      <c r="N208" s="339">
        <f t="shared" ca="1" si="36"/>
        <v>41284.323380902781</v>
      </c>
      <c r="O208" s="340" t="e">
        <f t="shared" si="37"/>
        <v>#VALUE!</v>
      </c>
      <c r="P208" s="340" t="e">
        <f t="shared" si="38"/>
        <v>#VALUE!</v>
      </c>
      <c r="Q208" s="340" t="e">
        <f t="shared" si="39"/>
        <v>#VALUE!</v>
      </c>
      <c r="R208" s="340">
        <f t="shared" ca="1" si="40"/>
        <v>2013</v>
      </c>
      <c r="S208" s="340">
        <f t="shared" ca="1" si="41"/>
        <v>1</v>
      </c>
      <c r="T208" s="340">
        <f t="shared" ca="1" si="42"/>
        <v>10</v>
      </c>
      <c r="U208" s="357" t="str">
        <f t="shared" si="43"/>
        <v>-</v>
      </c>
    </row>
    <row r="209" spans="1:21" x14ac:dyDescent="0.2">
      <c r="A209" s="77" t="s">
        <v>136</v>
      </c>
      <c r="B209" s="176" t="s">
        <v>136</v>
      </c>
      <c r="C209" s="177" t="s">
        <v>136</v>
      </c>
      <c r="D209" s="178">
        <v>0</v>
      </c>
      <c r="E209" s="178">
        <v>0</v>
      </c>
      <c r="F209" s="179">
        <v>0</v>
      </c>
      <c r="G209" s="77">
        <v>0</v>
      </c>
      <c r="H209" s="78">
        <f t="shared" si="44"/>
        <v>0</v>
      </c>
      <c r="I209" s="78">
        <f t="shared" si="45"/>
        <v>0</v>
      </c>
      <c r="J209" s="77">
        <v>0</v>
      </c>
      <c r="K209" s="77">
        <v>0</v>
      </c>
      <c r="L209" s="78">
        <f t="shared" si="46"/>
        <v>0</v>
      </c>
      <c r="M209" s="174">
        <f t="shared" si="47"/>
        <v>0</v>
      </c>
      <c r="N209" s="339">
        <f t="shared" ca="1" si="36"/>
        <v>41284.323380902781</v>
      </c>
      <c r="O209" s="340" t="e">
        <f t="shared" si="37"/>
        <v>#VALUE!</v>
      </c>
      <c r="P209" s="340" t="e">
        <f t="shared" si="38"/>
        <v>#VALUE!</v>
      </c>
      <c r="Q209" s="340" t="e">
        <f t="shared" si="39"/>
        <v>#VALUE!</v>
      </c>
      <c r="R209" s="340">
        <f t="shared" ca="1" si="40"/>
        <v>2013</v>
      </c>
      <c r="S209" s="340">
        <f t="shared" ca="1" si="41"/>
        <v>1</v>
      </c>
      <c r="T209" s="340">
        <f t="shared" ca="1" si="42"/>
        <v>10</v>
      </c>
      <c r="U209" s="357" t="str">
        <f t="shared" si="43"/>
        <v>-</v>
      </c>
    </row>
    <row r="210" spans="1:21" x14ac:dyDescent="0.2">
      <c r="A210" s="77" t="s">
        <v>136</v>
      </c>
      <c r="B210" s="176" t="s">
        <v>136</v>
      </c>
      <c r="C210" s="177" t="s">
        <v>136</v>
      </c>
      <c r="D210" s="178">
        <v>0</v>
      </c>
      <c r="E210" s="178">
        <v>0</v>
      </c>
      <c r="F210" s="179">
        <v>0</v>
      </c>
      <c r="G210" s="77">
        <v>0</v>
      </c>
      <c r="H210" s="78">
        <f t="shared" si="44"/>
        <v>0</v>
      </c>
      <c r="I210" s="78">
        <f t="shared" si="45"/>
        <v>0</v>
      </c>
      <c r="J210" s="77">
        <v>0</v>
      </c>
      <c r="K210" s="77">
        <v>0</v>
      </c>
      <c r="L210" s="78">
        <f t="shared" si="46"/>
        <v>0</v>
      </c>
      <c r="M210" s="174">
        <f t="shared" si="47"/>
        <v>0</v>
      </c>
      <c r="N210" s="339">
        <f t="shared" ca="1" si="36"/>
        <v>41284.323380902781</v>
      </c>
      <c r="O210" s="340" t="e">
        <f t="shared" si="37"/>
        <v>#VALUE!</v>
      </c>
      <c r="P210" s="340" t="e">
        <f t="shared" si="38"/>
        <v>#VALUE!</v>
      </c>
      <c r="Q210" s="340" t="e">
        <f t="shared" si="39"/>
        <v>#VALUE!</v>
      </c>
      <c r="R210" s="340">
        <f t="shared" ca="1" si="40"/>
        <v>2013</v>
      </c>
      <c r="S210" s="340">
        <f t="shared" ca="1" si="41"/>
        <v>1</v>
      </c>
      <c r="T210" s="340">
        <f t="shared" ca="1" si="42"/>
        <v>10</v>
      </c>
      <c r="U210" s="357" t="str">
        <f t="shared" si="43"/>
        <v>-</v>
      </c>
    </row>
    <row r="211" spans="1:21" x14ac:dyDescent="0.2">
      <c r="A211" s="77" t="s">
        <v>136</v>
      </c>
      <c r="B211" s="176" t="s">
        <v>136</v>
      </c>
      <c r="C211" s="177" t="s">
        <v>136</v>
      </c>
      <c r="D211" s="178">
        <v>0</v>
      </c>
      <c r="E211" s="178">
        <v>0</v>
      </c>
      <c r="F211" s="179">
        <v>0</v>
      </c>
      <c r="G211" s="77">
        <v>0</v>
      </c>
      <c r="H211" s="78">
        <f t="shared" si="44"/>
        <v>0</v>
      </c>
      <c r="I211" s="78">
        <f t="shared" si="45"/>
        <v>0</v>
      </c>
      <c r="J211" s="77">
        <v>0</v>
      </c>
      <c r="K211" s="77">
        <v>0</v>
      </c>
      <c r="L211" s="78">
        <f t="shared" si="46"/>
        <v>0</v>
      </c>
      <c r="M211" s="174">
        <f t="shared" si="47"/>
        <v>0</v>
      </c>
      <c r="N211" s="339">
        <f t="shared" ca="1" si="36"/>
        <v>41284.323380902781</v>
      </c>
      <c r="O211" s="340" t="e">
        <f t="shared" si="37"/>
        <v>#VALUE!</v>
      </c>
      <c r="P211" s="340" t="e">
        <f t="shared" si="38"/>
        <v>#VALUE!</v>
      </c>
      <c r="Q211" s="340" t="e">
        <f t="shared" si="39"/>
        <v>#VALUE!</v>
      </c>
      <c r="R211" s="340">
        <f t="shared" ca="1" si="40"/>
        <v>2013</v>
      </c>
      <c r="S211" s="340">
        <f t="shared" ca="1" si="41"/>
        <v>1</v>
      </c>
      <c r="T211" s="340">
        <f t="shared" ca="1" si="42"/>
        <v>10</v>
      </c>
      <c r="U211" s="357" t="str">
        <f t="shared" si="43"/>
        <v>-</v>
      </c>
    </row>
    <row r="212" spans="1:21" x14ac:dyDescent="0.2">
      <c r="A212" s="77" t="s">
        <v>136</v>
      </c>
      <c r="B212" s="176" t="s">
        <v>136</v>
      </c>
      <c r="C212" s="177" t="s">
        <v>136</v>
      </c>
      <c r="D212" s="178">
        <v>0</v>
      </c>
      <c r="E212" s="178">
        <v>0</v>
      </c>
      <c r="F212" s="179">
        <v>0</v>
      </c>
      <c r="G212" s="77">
        <v>0</v>
      </c>
      <c r="H212" s="78">
        <f t="shared" si="44"/>
        <v>0</v>
      </c>
      <c r="I212" s="78">
        <f t="shared" si="45"/>
        <v>0</v>
      </c>
      <c r="J212" s="77">
        <v>0</v>
      </c>
      <c r="K212" s="77">
        <v>0</v>
      </c>
      <c r="L212" s="78">
        <f t="shared" si="46"/>
        <v>0</v>
      </c>
      <c r="M212" s="174">
        <f t="shared" si="47"/>
        <v>0</v>
      </c>
      <c r="N212" s="339">
        <f t="shared" ca="1" si="36"/>
        <v>41284.323380902781</v>
      </c>
      <c r="O212" s="340" t="e">
        <f t="shared" si="37"/>
        <v>#VALUE!</v>
      </c>
      <c r="P212" s="340" t="e">
        <f t="shared" si="38"/>
        <v>#VALUE!</v>
      </c>
      <c r="Q212" s="340" t="e">
        <f t="shared" si="39"/>
        <v>#VALUE!</v>
      </c>
      <c r="R212" s="340">
        <f t="shared" ca="1" si="40"/>
        <v>2013</v>
      </c>
      <c r="S212" s="340">
        <f t="shared" ca="1" si="41"/>
        <v>1</v>
      </c>
      <c r="T212" s="340">
        <f t="shared" ca="1" si="42"/>
        <v>10</v>
      </c>
      <c r="U212" s="357" t="str">
        <f t="shared" si="43"/>
        <v>-</v>
      </c>
    </row>
    <row r="213" spans="1:21" x14ac:dyDescent="0.2">
      <c r="A213" s="77" t="s">
        <v>136</v>
      </c>
      <c r="B213" s="176" t="s">
        <v>136</v>
      </c>
      <c r="C213" s="177" t="s">
        <v>136</v>
      </c>
      <c r="D213" s="178">
        <v>0</v>
      </c>
      <c r="E213" s="178">
        <v>0</v>
      </c>
      <c r="F213" s="179">
        <v>0</v>
      </c>
      <c r="G213" s="77">
        <v>0</v>
      </c>
      <c r="H213" s="78">
        <f t="shared" si="44"/>
        <v>0</v>
      </c>
      <c r="I213" s="78">
        <f t="shared" si="45"/>
        <v>0</v>
      </c>
      <c r="J213" s="77">
        <v>0</v>
      </c>
      <c r="K213" s="77">
        <v>0</v>
      </c>
      <c r="L213" s="78">
        <f t="shared" si="46"/>
        <v>0</v>
      </c>
      <c r="M213" s="174">
        <f t="shared" si="47"/>
        <v>0</v>
      </c>
      <c r="N213" s="339">
        <f t="shared" ca="1" si="36"/>
        <v>41284.323380902781</v>
      </c>
      <c r="O213" s="340" t="e">
        <f t="shared" si="37"/>
        <v>#VALUE!</v>
      </c>
      <c r="P213" s="340" t="e">
        <f t="shared" si="38"/>
        <v>#VALUE!</v>
      </c>
      <c r="Q213" s="340" t="e">
        <f t="shared" si="39"/>
        <v>#VALUE!</v>
      </c>
      <c r="R213" s="340">
        <f t="shared" ca="1" si="40"/>
        <v>2013</v>
      </c>
      <c r="S213" s="340">
        <f t="shared" ca="1" si="41"/>
        <v>1</v>
      </c>
      <c r="T213" s="340">
        <f t="shared" ca="1" si="42"/>
        <v>10</v>
      </c>
      <c r="U213" s="357" t="str">
        <f t="shared" si="43"/>
        <v>-</v>
      </c>
    </row>
  </sheetData>
  <sheetProtection sheet="1" objects="1" scenarios="1"/>
  <mergeCells count="3">
    <mergeCell ref="O5:Q5"/>
    <mergeCell ref="R5:T5"/>
    <mergeCell ref="N4:T4"/>
  </mergeCells>
  <phoneticPr fontId="22" type="noConversion"/>
  <hyperlinks>
    <hyperlink ref="A2" location="'Menú Principa'!A1" display="'Menú Principa'!A1"/>
  </hyperlinks>
  <pageMargins left="0.75" right="0.75" top="1" bottom="1" header="0" footer="0"/>
  <pageSetup orientation="portrait" horizontalDpi="4294967294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:T181"/>
  <sheetViews>
    <sheetView showGridLines="0" showRowColHeaders="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F1" sqref="F1"/>
    </sheetView>
  </sheetViews>
  <sheetFormatPr baseColWidth="10" defaultRowHeight="12.75" x14ac:dyDescent="0.2"/>
  <cols>
    <col min="1" max="1" width="36.28515625" style="1" customWidth="1"/>
    <col min="2" max="2" width="2.85546875" style="1" customWidth="1"/>
    <col min="3" max="4" width="12.85546875" style="1" bestFit="1" customWidth="1"/>
    <col min="5" max="5" width="13.85546875" style="1" customWidth="1"/>
    <col min="6" max="10" width="12.85546875" style="1" bestFit="1" customWidth="1"/>
    <col min="11" max="15" width="13.85546875" style="1" bestFit="1" customWidth="1"/>
    <col min="16" max="16384" width="11.42578125" style="1"/>
  </cols>
  <sheetData>
    <row r="1" spans="1:15" x14ac:dyDescent="0.2">
      <c r="A1" s="30" t="s">
        <v>572</v>
      </c>
      <c r="B1" s="31"/>
      <c r="C1" s="31"/>
      <c r="D1" s="31"/>
      <c r="F1" s="24" t="s">
        <v>56</v>
      </c>
    </row>
    <row r="2" spans="1:15" x14ac:dyDescent="0.2">
      <c r="A2" s="27" t="s">
        <v>292</v>
      </c>
      <c r="B2" s="31"/>
      <c r="C2" s="31"/>
      <c r="D2" s="31"/>
      <c r="E2" s="10"/>
    </row>
    <row r="3" spans="1:15" x14ac:dyDescent="0.2">
      <c r="A3" s="30" t="str">
        <f>Aguinaldos!A4</f>
        <v>Ejercicio Fiscal de 2010</v>
      </c>
      <c r="B3" s="31"/>
      <c r="C3" s="31"/>
      <c r="D3" s="31"/>
      <c r="E3" s="10"/>
      <c r="F3" s="23"/>
    </row>
    <row r="4" spans="1:15" x14ac:dyDescent="0.2">
      <c r="A4" s="156" t="s">
        <v>221</v>
      </c>
      <c r="B4" s="249"/>
      <c r="C4" s="256">
        <v>1</v>
      </c>
      <c r="D4" s="31"/>
      <c r="E4" s="10"/>
      <c r="F4" s="24"/>
    </row>
    <row r="5" spans="1:15" x14ac:dyDescent="0.2">
      <c r="A5" s="134" t="s">
        <v>190</v>
      </c>
      <c r="B5" s="257"/>
      <c r="C5" s="212" t="s">
        <v>136</v>
      </c>
      <c r="D5" s="206"/>
      <c r="E5" s="206"/>
      <c r="F5" s="207"/>
      <c r="G5" s="1" t="s">
        <v>47</v>
      </c>
    </row>
    <row r="6" spans="1:15" x14ac:dyDescent="0.2">
      <c r="A6" s="134" t="s">
        <v>216</v>
      </c>
      <c r="B6" s="257"/>
      <c r="C6" s="212" t="s">
        <v>136</v>
      </c>
      <c r="D6" s="206"/>
      <c r="E6" s="206"/>
      <c r="F6" s="207"/>
      <c r="G6" s="1" t="s">
        <v>47</v>
      </c>
    </row>
    <row r="7" spans="1:15" x14ac:dyDescent="0.2">
      <c r="A7" s="134" t="s">
        <v>464</v>
      </c>
      <c r="B7" s="257"/>
      <c r="C7" s="212" t="s">
        <v>136</v>
      </c>
      <c r="D7" s="206"/>
      <c r="E7" s="206"/>
      <c r="F7" s="207"/>
      <c r="G7" s="1" t="s">
        <v>47</v>
      </c>
      <c r="H7" s="425"/>
    </row>
    <row r="8" spans="1:15" x14ac:dyDescent="0.2">
      <c r="A8" s="152"/>
      <c r="B8" s="395"/>
      <c r="C8" s="245"/>
      <c r="D8" s="148"/>
      <c r="E8" s="148"/>
      <c r="F8" s="246"/>
      <c r="H8" s="425"/>
    </row>
    <row r="9" spans="1:15" ht="13.5" thickBot="1" x14ac:dyDescent="0.25">
      <c r="C9" s="426" t="s">
        <v>143</v>
      </c>
      <c r="D9" s="426" t="s">
        <v>144</v>
      </c>
      <c r="E9" s="426" t="s">
        <v>145</v>
      </c>
      <c r="F9" s="426" t="s">
        <v>146</v>
      </c>
      <c r="G9" s="426" t="s">
        <v>147</v>
      </c>
      <c r="H9" s="426" t="s">
        <v>148</v>
      </c>
      <c r="I9" s="426" t="s">
        <v>149</v>
      </c>
      <c r="J9" s="426" t="s">
        <v>150</v>
      </c>
      <c r="K9" s="426" t="s">
        <v>151</v>
      </c>
      <c r="L9" s="426" t="s">
        <v>152</v>
      </c>
      <c r="M9" s="426" t="s">
        <v>153</v>
      </c>
      <c r="N9" s="426" t="s">
        <v>154</v>
      </c>
      <c r="O9" s="426" t="s">
        <v>294</v>
      </c>
    </row>
    <row r="10" spans="1:15" x14ac:dyDescent="0.2">
      <c r="A10" s="434" t="s">
        <v>545</v>
      </c>
    </row>
    <row r="11" spans="1:15" ht="13.5" thickBot="1" x14ac:dyDescent="0.25">
      <c r="A11" s="435" t="s">
        <v>546</v>
      </c>
    </row>
    <row r="13" spans="1:15" x14ac:dyDescent="0.2">
      <c r="A13" s="133" t="s">
        <v>574</v>
      </c>
    </row>
    <row r="14" spans="1:15" x14ac:dyDescent="0.2">
      <c r="A14" s="424" t="s">
        <v>538</v>
      </c>
      <c r="C14" s="430">
        <f>Arr_Acum!C12</f>
        <v>0</v>
      </c>
      <c r="D14" s="430">
        <f>Arr_Acum!D12</f>
        <v>0</v>
      </c>
      <c r="E14" s="430">
        <f>Arr_Acum!E12</f>
        <v>0</v>
      </c>
      <c r="F14" s="430">
        <f>Arr_Acum!F12</f>
        <v>0</v>
      </c>
      <c r="G14" s="430">
        <f>Arr_Acum!G12</f>
        <v>0</v>
      </c>
      <c r="H14" s="430">
        <f>Arr_Acum!H12</f>
        <v>0</v>
      </c>
      <c r="I14" s="430">
        <f>Arr_Acum!I12</f>
        <v>0</v>
      </c>
      <c r="J14" s="430">
        <f>Arr_Acum!J12</f>
        <v>0</v>
      </c>
      <c r="K14" s="430">
        <f>Arr_Acum!K12</f>
        <v>0</v>
      </c>
      <c r="L14" s="430">
        <f>Arr_Acum!L12</f>
        <v>0</v>
      </c>
      <c r="M14" s="430">
        <f>Arr_Acum!M12</f>
        <v>0</v>
      </c>
      <c r="N14" s="430">
        <f>Arr_Acum!N12</f>
        <v>0</v>
      </c>
      <c r="O14" s="430">
        <f t="shared" ref="O14:O20" si="0">SUM(C14:N14)</f>
        <v>0</v>
      </c>
    </row>
    <row r="15" spans="1:15" x14ac:dyDescent="0.2">
      <c r="A15" s="424" t="s">
        <v>539</v>
      </c>
      <c r="C15" s="430">
        <f>Hono_Acum!C13</f>
        <v>0</v>
      </c>
      <c r="D15" s="430">
        <f>Hono_Acum!D13</f>
        <v>0</v>
      </c>
      <c r="E15" s="430">
        <f>Hono_Acum!E13</f>
        <v>0</v>
      </c>
      <c r="F15" s="430">
        <f>Hono_Acum!F13</f>
        <v>0</v>
      </c>
      <c r="G15" s="430">
        <f>Hono_Acum!G13</f>
        <v>0</v>
      </c>
      <c r="H15" s="430">
        <f>Hono_Acum!H13</f>
        <v>0</v>
      </c>
      <c r="I15" s="430">
        <f>Hono_Acum!I13</f>
        <v>0</v>
      </c>
      <c r="J15" s="430">
        <f>Hono_Acum!J13</f>
        <v>0</v>
      </c>
      <c r="K15" s="430">
        <f>Hono_Acum!K13</f>
        <v>0</v>
      </c>
      <c r="L15" s="430">
        <f>Hono_Acum!L13</f>
        <v>0</v>
      </c>
      <c r="M15" s="430">
        <f>Hono_Acum!M13</f>
        <v>0</v>
      </c>
      <c r="N15" s="430">
        <f>Hono_Acum!N13</f>
        <v>0</v>
      </c>
      <c r="O15" s="430">
        <f t="shared" si="0"/>
        <v>0</v>
      </c>
    </row>
    <row r="16" spans="1:15" x14ac:dyDescent="0.2">
      <c r="A16" s="428" t="s">
        <v>544</v>
      </c>
      <c r="B16" s="429" t="s">
        <v>47</v>
      </c>
      <c r="C16" s="77">
        <v>0</v>
      </c>
      <c r="D16" s="77">
        <v>0</v>
      </c>
      <c r="E16" s="77">
        <v>0</v>
      </c>
      <c r="F16" s="77">
        <v>0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430">
        <f t="shared" si="0"/>
        <v>0</v>
      </c>
    </row>
    <row r="17" spans="1:19" x14ac:dyDescent="0.2">
      <c r="A17" s="445" t="s">
        <v>136</v>
      </c>
      <c r="B17" s="446" t="s">
        <v>47</v>
      </c>
      <c r="C17" s="77">
        <v>0</v>
      </c>
      <c r="D17" s="77">
        <v>0</v>
      </c>
      <c r="E17" s="77">
        <v>0</v>
      </c>
      <c r="F17" s="77">
        <v>0</v>
      </c>
      <c r="G17" s="77">
        <v>0</v>
      </c>
      <c r="H17" s="77">
        <v>0</v>
      </c>
      <c r="I17" s="77">
        <v>0</v>
      </c>
      <c r="J17" s="77">
        <v>0</v>
      </c>
      <c r="K17" s="77">
        <v>0</v>
      </c>
      <c r="L17" s="77">
        <v>0</v>
      </c>
      <c r="M17" s="77">
        <v>0</v>
      </c>
      <c r="N17" s="77">
        <v>0</v>
      </c>
      <c r="O17" s="430">
        <f t="shared" si="0"/>
        <v>0</v>
      </c>
    </row>
    <row r="18" spans="1:19" x14ac:dyDescent="0.2">
      <c r="A18" s="445" t="s">
        <v>136</v>
      </c>
      <c r="B18" s="446" t="s">
        <v>47</v>
      </c>
      <c r="C18" s="77">
        <v>0</v>
      </c>
      <c r="D18" s="77">
        <v>0</v>
      </c>
      <c r="E18" s="77">
        <v>0</v>
      </c>
      <c r="F18" s="77">
        <v>0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430">
        <f t="shared" si="0"/>
        <v>0</v>
      </c>
    </row>
    <row r="19" spans="1:19" x14ac:dyDescent="0.2">
      <c r="A19" s="25" t="s">
        <v>136</v>
      </c>
      <c r="B19" s="446" t="s">
        <v>47</v>
      </c>
      <c r="C19" s="77">
        <v>0</v>
      </c>
      <c r="D19" s="77">
        <v>0</v>
      </c>
      <c r="E19" s="77">
        <v>0</v>
      </c>
      <c r="F19" s="77">
        <v>0</v>
      </c>
      <c r="G19" s="77">
        <v>0</v>
      </c>
      <c r="H19" s="77">
        <v>0</v>
      </c>
      <c r="I19" s="77">
        <v>0</v>
      </c>
      <c r="J19" s="77">
        <v>0</v>
      </c>
      <c r="K19" s="77">
        <v>0</v>
      </c>
      <c r="L19" s="77">
        <v>0</v>
      </c>
      <c r="M19" s="77">
        <v>0</v>
      </c>
      <c r="N19" s="77">
        <v>0</v>
      </c>
      <c r="O19" s="430">
        <f t="shared" si="0"/>
        <v>0</v>
      </c>
    </row>
    <row r="20" spans="1:19" x14ac:dyDescent="0.2">
      <c r="A20" s="25" t="s">
        <v>136</v>
      </c>
      <c r="B20" s="446" t="s">
        <v>47</v>
      </c>
      <c r="C20" s="77">
        <v>0</v>
      </c>
      <c r="D20" s="77">
        <v>0</v>
      </c>
      <c r="E20" s="77">
        <v>0</v>
      </c>
      <c r="F20" s="77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430">
        <f t="shared" si="0"/>
        <v>0</v>
      </c>
    </row>
    <row r="21" spans="1:19" x14ac:dyDescent="0.2">
      <c r="B21" s="429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427"/>
    </row>
    <row r="22" spans="1:19" x14ac:dyDescent="0.2">
      <c r="A22" s="62" t="s">
        <v>540</v>
      </c>
      <c r="C22" s="430">
        <f>SUM(C14:C20)</f>
        <v>0</v>
      </c>
      <c r="D22" s="430">
        <f t="shared" ref="D22:O22" si="1">SUM(D14:D20)</f>
        <v>0</v>
      </c>
      <c r="E22" s="430">
        <f t="shared" si="1"/>
        <v>0</v>
      </c>
      <c r="F22" s="430">
        <f t="shared" si="1"/>
        <v>0</v>
      </c>
      <c r="G22" s="430">
        <f t="shared" si="1"/>
        <v>0</v>
      </c>
      <c r="H22" s="430">
        <f t="shared" si="1"/>
        <v>0</v>
      </c>
      <c r="I22" s="430">
        <f t="shared" si="1"/>
        <v>0</v>
      </c>
      <c r="J22" s="430">
        <f t="shared" si="1"/>
        <v>0</v>
      </c>
      <c r="K22" s="430">
        <f t="shared" si="1"/>
        <v>0</v>
      </c>
      <c r="L22" s="430">
        <f t="shared" si="1"/>
        <v>0</v>
      </c>
      <c r="M22" s="430">
        <f t="shared" si="1"/>
        <v>0</v>
      </c>
      <c r="N22" s="430">
        <f t="shared" si="1"/>
        <v>0</v>
      </c>
      <c r="O22" s="430">
        <f t="shared" si="1"/>
        <v>0</v>
      </c>
    </row>
    <row r="23" spans="1:19" x14ac:dyDescent="0.2">
      <c r="A23" s="15" t="s">
        <v>140</v>
      </c>
    </row>
    <row r="24" spans="1:19" x14ac:dyDescent="0.2">
      <c r="A24" s="1" t="s">
        <v>283</v>
      </c>
    </row>
    <row r="25" spans="1:19" x14ac:dyDescent="0.2">
      <c r="A25" s="1" t="s">
        <v>536</v>
      </c>
      <c r="B25" s="1" t="s">
        <v>47</v>
      </c>
      <c r="C25" s="77">
        <v>0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430">
        <f>SUM(C25:N25)</f>
        <v>0</v>
      </c>
    </row>
    <row r="26" spans="1:19" x14ac:dyDescent="0.2"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427"/>
    </row>
    <row r="27" spans="1:19" x14ac:dyDescent="0.2">
      <c r="A27" s="62" t="s">
        <v>541</v>
      </c>
      <c r="C27" s="492">
        <f>C22-C25</f>
        <v>0</v>
      </c>
      <c r="D27" s="492">
        <f t="shared" ref="D27:O27" si="2">D22-D25</f>
        <v>0</v>
      </c>
      <c r="E27" s="492">
        <f t="shared" si="2"/>
        <v>0</v>
      </c>
      <c r="F27" s="492">
        <f t="shared" si="2"/>
        <v>0</v>
      </c>
      <c r="G27" s="492">
        <f t="shared" si="2"/>
        <v>0</v>
      </c>
      <c r="H27" s="492">
        <f t="shared" si="2"/>
        <v>0</v>
      </c>
      <c r="I27" s="492">
        <f t="shared" si="2"/>
        <v>0</v>
      </c>
      <c r="J27" s="492">
        <f t="shared" si="2"/>
        <v>0</v>
      </c>
      <c r="K27" s="492">
        <f t="shared" si="2"/>
        <v>0</v>
      </c>
      <c r="L27" s="492">
        <f t="shared" si="2"/>
        <v>0</v>
      </c>
      <c r="M27" s="492">
        <f t="shared" si="2"/>
        <v>0</v>
      </c>
      <c r="N27" s="492">
        <f t="shared" si="2"/>
        <v>0</v>
      </c>
      <c r="O27" s="492">
        <f t="shared" si="2"/>
        <v>0</v>
      </c>
    </row>
    <row r="28" spans="1:19" x14ac:dyDescent="0.2">
      <c r="C28" s="444">
        <f>C27</f>
        <v>0</v>
      </c>
      <c r="D28" s="444">
        <f>C28+D27</f>
        <v>0</v>
      </c>
      <c r="E28" s="444">
        <f t="shared" ref="E28:N28" si="3">D28+E27</f>
        <v>0</v>
      </c>
      <c r="F28" s="444">
        <f t="shared" si="3"/>
        <v>0</v>
      </c>
      <c r="G28" s="444">
        <f t="shared" si="3"/>
        <v>0</v>
      </c>
      <c r="H28" s="444">
        <f t="shared" si="3"/>
        <v>0</v>
      </c>
      <c r="I28" s="444">
        <f t="shared" si="3"/>
        <v>0</v>
      </c>
      <c r="J28" s="444">
        <f t="shared" si="3"/>
        <v>0</v>
      </c>
      <c r="K28" s="444">
        <f t="shared" si="3"/>
        <v>0</v>
      </c>
      <c r="L28" s="444">
        <f t="shared" si="3"/>
        <v>0</v>
      </c>
      <c r="M28" s="444">
        <f t="shared" si="3"/>
        <v>0</v>
      </c>
      <c r="N28" s="444">
        <f t="shared" si="3"/>
        <v>0</v>
      </c>
      <c r="O28" s="444"/>
      <c r="P28" s="444"/>
      <c r="Q28" s="444"/>
      <c r="R28" s="444"/>
      <c r="S28" s="444"/>
    </row>
    <row r="30" spans="1:19" x14ac:dyDescent="0.2">
      <c r="A30" s="133" t="s">
        <v>284</v>
      </c>
    </row>
    <row r="31" spans="1:19" x14ac:dyDescent="0.2">
      <c r="A31" s="10" t="s">
        <v>127</v>
      </c>
      <c r="B31" s="59" t="s">
        <v>47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7">
        <v>0</v>
      </c>
      <c r="K31" s="77">
        <v>0</v>
      </c>
      <c r="L31" s="77">
        <v>0</v>
      </c>
      <c r="M31" s="77">
        <v>0</v>
      </c>
      <c r="N31" s="77">
        <v>0</v>
      </c>
      <c r="O31" s="430">
        <f t="shared" ref="O31:O52" si="4">SUM(C31:N31)</f>
        <v>0</v>
      </c>
    </row>
    <row r="32" spans="1:19" x14ac:dyDescent="0.2">
      <c r="A32" s="440" t="s">
        <v>128</v>
      </c>
      <c r="B32" s="441" t="s">
        <v>47</v>
      </c>
      <c r="C32" s="447">
        <v>0</v>
      </c>
      <c r="D32" s="447">
        <v>0</v>
      </c>
      <c r="E32" s="447">
        <v>0</v>
      </c>
      <c r="F32" s="447">
        <v>0</v>
      </c>
      <c r="G32" s="447">
        <v>0</v>
      </c>
      <c r="H32" s="447">
        <v>0</v>
      </c>
      <c r="I32" s="447">
        <v>0</v>
      </c>
      <c r="J32" s="447">
        <v>0</v>
      </c>
      <c r="K32" s="447">
        <v>0</v>
      </c>
      <c r="L32" s="447">
        <v>0</v>
      </c>
      <c r="M32" s="447">
        <v>0</v>
      </c>
      <c r="N32" s="447">
        <v>0</v>
      </c>
      <c r="O32" s="442">
        <f t="shared" si="4"/>
        <v>0</v>
      </c>
    </row>
    <row r="33" spans="1:15" x14ac:dyDescent="0.2">
      <c r="A33" s="10" t="s">
        <v>129</v>
      </c>
      <c r="B33" s="59" t="s">
        <v>47</v>
      </c>
      <c r="C33" s="77">
        <v>0</v>
      </c>
      <c r="D33" s="77">
        <v>0</v>
      </c>
      <c r="E33" s="77">
        <v>0</v>
      </c>
      <c r="F33" s="77">
        <v>0</v>
      </c>
      <c r="G33" s="77">
        <v>0</v>
      </c>
      <c r="H33" s="77">
        <v>0</v>
      </c>
      <c r="I33" s="77">
        <v>0</v>
      </c>
      <c r="J33" s="77">
        <v>0</v>
      </c>
      <c r="K33" s="77">
        <v>0</v>
      </c>
      <c r="L33" s="77">
        <v>0</v>
      </c>
      <c r="M33" s="77">
        <v>0</v>
      </c>
      <c r="N33" s="77">
        <v>0</v>
      </c>
      <c r="O33" s="430">
        <f t="shared" si="4"/>
        <v>0</v>
      </c>
    </row>
    <row r="34" spans="1:15" x14ac:dyDescent="0.2">
      <c r="A34" s="440" t="s">
        <v>130</v>
      </c>
      <c r="B34" s="441" t="s">
        <v>47</v>
      </c>
      <c r="C34" s="447">
        <v>0</v>
      </c>
      <c r="D34" s="447">
        <v>0</v>
      </c>
      <c r="E34" s="447">
        <v>0</v>
      </c>
      <c r="F34" s="447">
        <v>0</v>
      </c>
      <c r="G34" s="447">
        <v>0</v>
      </c>
      <c r="H34" s="447">
        <v>0</v>
      </c>
      <c r="I34" s="447">
        <v>0</v>
      </c>
      <c r="J34" s="447">
        <v>0</v>
      </c>
      <c r="K34" s="447">
        <v>0</v>
      </c>
      <c r="L34" s="447">
        <v>0</v>
      </c>
      <c r="M34" s="447">
        <v>0</v>
      </c>
      <c r="N34" s="447">
        <v>0</v>
      </c>
      <c r="O34" s="442">
        <f t="shared" si="4"/>
        <v>0</v>
      </c>
    </row>
    <row r="35" spans="1:15" x14ac:dyDescent="0.2">
      <c r="A35" s="10" t="s">
        <v>131</v>
      </c>
      <c r="B35" s="59" t="s">
        <v>47</v>
      </c>
      <c r="C35" s="77">
        <v>0</v>
      </c>
      <c r="D35" s="77">
        <v>0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  <c r="L35" s="77">
        <v>0</v>
      </c>
      <c r="M35" s="77">
        <v>0</v>
      </c>
      <c r="N35" s="77">
        <v>0</v>
      </c>
      <c r="O35" s="430">
        <f t="shared" si="4"/>
        <v>0</v>
      </c>
    </row>
    <row r="36" spans="1:15" x14ac:dyDescent="0.2">
      <c r="A36" s="440" t="s">
        <v>132</v>
      </c>
      <c r="B36" s="441" t="s">
        <v>47</v>
      </c>
      <c r="C36" s="447">
        <v>0</v>
      </c>
      <c r="D36" s="447">
        <v>0</v>
      </c>
      <c r="E36" s="447">
        <v>0</v>
      </c>
      <c r="F36" s="447">
        <v>0</v>
      </c>
      <c r="G36" s="447">
        <v>0</v>
      </c>
      <c r="H36" s="447">
        <v>0</v>
      </c>
      <c r="I36" s="447">
        <v>0</v>
      </c>
      <c r="J36" s="447">
        <v>0</v>
      </c>
      <c r="K36" s="447">
        <v>0</v>
      </c>
      <c r="L36" s="447">
        <v>0</v>
      </c>
      <c r="M36" s="447">
        <v>0</v>
      </c>
      <c r="N36" s="447">
        <v>0</v>
      </c>
      <c r="O36" s="442">
        <f t="shared" si="4"/>
        <v>0</v>
      </c>
    </row>
    <row r="37" spans="1:15" x14ac:dyDescent="0.2">
      <c r="A37" s="10" t="s">
        <v>133</v>
      </c>
      <c r="B37" s="59" t="s">
        <v>47</v>
      </c>
      <c r="C37" s="77">
        <v>0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430">
        <f t="shared" si="4"/>
        <v>0</v>
      </c>
    </row>
    <row r="38" spans="1:15" x14ac:dyDescent="0.2">
      <c r="A38" s="443" t="s">
        <v>134</v>
      </c>
      <c r="B38" s="441" t="s">
        <v>47</v>
      </c>
      <c r="C38" s="447">
        <v>0</v>
      </c>
      <c r="D38" s="447">
        <v>0</v>
      </c>
      <c r="E38" s="447">
        <v>0</v>
      </c>
      <c r="F38" s="447">
        <v>0</v>
      </c>
      <c r="G38" s="447">
        <v>0</v>
      </c>
      <c r="H38" s="447">
        <v>0</v>
      </c>
      <c r="I38" s="447">
        <v>0</v>
      </c>
      <c r="J38" s="447">
        <v>0</v>
      </c>
      <c r="K38" s="447">
        <v>0</v>
      </c>
      <c r="L38" s="447">
        <v>0</v>
      </c>
      <c r="M38" s="447">
        <v>0</v>
      </c>
      <c r="N38" s="447">
        <v>0</v>
      </c>
      <c r="O38" s="442">
        <f t="shared" si="4"/>
        <v>0</v>
      </c>
    </row>
    <row r="39" spans="1:15" x14ac:dyDescent="0.2">
      <c r="A39" s="10" t="s">
        <v>135</v>
      </c>
      <c r="B39" s="59" t="s">
        <v>47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  <c r="I39" s="77">
        <v>0</v>
      </c>
      <c r="J39" s="77">
        <v>0</v>
      </c>
      <c r="K39" s="77">
        <v>0</v>
      </c>
      <c r="L39" s="77">
        <v>0</v>
      </c>
      <c r="M39" s="77">
        <v>0</v>
      </c>
      <c r="N39" s="77">
        <v>0</v>
      </c>
      <c r="O39" s="430">
        <f t="shared" si="4"/>
        <v>0</v>
      </c>
    </row>
    <row r="40" spans="1:15" x14ac:dyDescent="0.2">
      <c r="A40" s="448" t="s">
        <v>136</v>
      </c>
      <c r="B40" s="441" t="s">
        <v>47</v>
      </c>
      <c r="C40" s="447">
        <v>0</v>
      </c>
      <c r="D40" s="447">
        <v>0</v>
      </c>
      <c r="E40" s="447">
        <v>0</v>
      </c>
      <c r="F40" s="447">
        <v>0</v>
      </c>
      <c r="G40" s="447">
        <v>0</v>
      </c>
      <c r="H40" s="447">
        <v>0</v>
      </c>
      <c r="I40" s="447">
        <v>0</v>
      </c>
      <c r="J40" s="447">
        <v>0</v>
      </c>
      <c r="K40" s="447">
        <v>0</v>
      </c>
      <c r="L40" s="447">
        <v>0</v>
      </c>
      <c r="M40" s="447">
        <v>0</v>
      </c>
      <c r="N40" s="447">
        <v>0</v>
      </c>
      <c r="O40" s="442">
        <f t="shared" si="4"/>
        <v>0</v>
      </c>
    </row>
    <row r="41" spans="1:15" x14ac:dyDescent="0.2">
      <c r="A41" s="25" t="s">
        <v>136</v>
      </c>
      <c r="B41" s="59" t="s">
        <v>47</v>
      </c>
      <c r="C41" s="77">
        <v>0</v>
      </c>
      <c r="D41" s="77">
        <v>0</v>
      </c>
      <c r="E41" s="77">
        <v>0</v>
      </c>
      <c r="F41" s="77">
        <v>0</v>
      </c>
      <c r="G41" s="77">
        <v>0</v>
      </c>
      <c r="H41" s="77">
        <v>0</v>
      </c>
      <c r="I41" s="77">
        <v>0</v>
      </c>
      <c r="J41" s="77">
        <v>0</v>
      </c>
      <c r="K41" s="77">
        <v>0</v>
      </c>
      <c r="L41" s="77">
        <v>0</v>
      </c>
      <c r="M41" s="77">
        <v>0</v>
      </c>
      <c r="N41" s="77">
        <v>0</v>
      </c>
      <c r="O41" s="430">
        <f t="shared" si="4"/>
        <v>0</v>
      </c>
    </row>
    <row r="42" spans="1:15" x14ac:dyDescent="0.2">
      <c r="A42" s="448" t="s">
        <v>136</v>
      </c>
      <c r="B42" s="441" t="s">
        <v>47</v>
      </c>
      <c r="C42" s="447">
        <v>0</v>
      </c>
      <c r="D42" s="447">
        <v>0</v>
      </c>
      <c r="E42" s="447">
        <v>0</v>
      </c>
      <c r="F42" s="447">
        <v>0</v>
      </c>
      <c r="G42" s="447">
        <v>0</v>
      </c>
      <c r="H42" s="447">
        <v>0</v>
      </c>
      <c r="I42" s="447">
        <v>0</v>
      </c>
      <c r="J42" s="447">
        <v>0</v>
      </c>
      <c r="K42" s="447">
        <v>0</v>
      </c>
      <c r="L42" s="447">
        <v>0</v>
      </c>
      <c r="M42" s="447">
        <v>0</v>
      </c>
      <c r="N42" s="447">
        <v>0</v>
      </c>
      <c r="O42" s="442">
        <f t="shared" si="4"/>
        <v>0</v>
      </c>
    </row>
    <row r="43" spans="1:15" x14ac:dyDescent="0.2">
      <c r="A43" s="25" t="s">
        <v>136</v>
      </c>
      <c r="B43" s="59" t="s">
        <v>47</v>
      </c>
      <c r="C43" s="77">
        <v>0</v>
      </c>
      <c r="D43" s="77">
        <v>0</v>
      </c>
      <c r="E43" s="77">
        <v>0</v>
      </c>
      <c r="F43" s="77">
        <v>0</v>
      </c>
      <c r="G43" s="77">
        <v>0</v>
      </c>
      <c r="H43" s="77">
        <v>0</v>
      </c>
      <c r="I43" s="77">
        <v>0</v>
      </c>
      <c r="J43" s="77">
        <v>0</v>
      </c>
      <c r="K43" s="77">
        <v>0</v>
      </c>
      <c r="L43" s="77">
        <v>0</v>
      </c>
      <c r="M43" s="77">
        <v>0</v>
      </c>
      <c r="N43" s="77">
        <v>0</v>
      </c>
      <c r="O43" s="430">
        <f t="shared" si="4"/>
        <v>0</v>
      </c>
    </row>
    <row r="44" spans="1:15" x14ac:dyDescent="0.2">
      <c r="A44" s="448" t="s">
        <v>136</v>
      </c>
      <c r="B44" s="441" t="s">
        <v>47</v>
      </c>
      <c r="C44" s="447">
        <v>0</v>
      </c>
      <c r="D44" s="447">
        <v>0</v>
      </c>
      <c r="E44" s="447">
        <v>0</v>
      </c>
      <c r="F44" s="447">
        <v>0</v>
      </c>
      <c r="G44" s="447">
        <v>0</v>
      </c>
      <c r="H44" s="447">
        <v>0</v>
      </c>
      <c r="I44" s="447">
        <v>0</v>
      </c>
      <c r="J44" s="447">
        <v>0</v>
      </c>
      <c r="K44" s="447">
        <v>0</v>
      </c>
      <c r="L44" s="447">
        <v>0</v>
      </c>
      <c r="M44" s="447">
        <v>0</v>
      </c>
      <c r="N44" s="447">
        <v>0</v>
      </c>
      <c r="O44" s="442">
        <f t="shared" si="4"/>
        <v>0</v>
      </c>
    </row>
    <row r="45" spans="1:15" x14ac:dyDescent="0.2">
      <c r="A45" s="25" t="s">
        <v>136</v>
      </c>
      <c r="B45" s="59" t="s">
        <v>47</v>
      </c>
      <c r="C45" s="77">
        <v>0</v>
      </c>
      <c r="D45" s="77">
        <v>0</v>
      </c>
      <c r="E45" s="77">
        <v>0</v>
      </c>
      <c r="F45" s="77">
        <v>0</v>
      </c>
      <c r="G45" s="77">
        <v>0</v>
      </c>
      <c r="H45" s="77">
        <v>0</v>
      </c>
      <c r="I45" s="77">
        <v>0</v>
      </c>
      <c r="J45" s="77">
        <v>0</v>
      </c>
      <c r="K45" s="77">
        <v>0</v>
      </c>
      <c r="L45" s="77">
        <v>0</v>
      </c>
      <c r="M45" s="77">
        <v>0</v>
      </c>
      <c r="N45" s="77">
        <v>0</v>
      </c>
      <c r="O45" s="430">
        <f t="shared" si="4"/>
        <v>0</v>
      </c>
    </row>
    <row r="46" spans="1:15" x14ac:dyDescent="0.2">
      <c r="A46" s="448" t="s">
        <v>136</v>
      </c>
      <c r="B46" s="441" t="s">
        <v>47</v>
      </c>
      <c r="C46" s="447">
        <v>0</v>
      </c>
      <c r="D46" s="447">
        <v>0</v>
      </c>
      <c r="E46" s="447">
        <v>0</v>
      </c>
      <c r="F46" s="447">
        <v>0</v>
      </c>
      <c r="G46" s="447">
        <v>0</v>
      </c>
      <c r="H46" s="447">
        <v>0</v>
      </c>
      <c r="I46" s="447">
        <v>0</v>
      </c>
      <c r="J46" s="447">
        <v>0</v>
      </c>
      <c r="K46" s="447">
        <v>0</v>
      </c>
      <c r="L46" s="447">
        <v>0</v>
      </c>
      <c r="M46" s="447">
        <v>0</v>
      </c>
      <c r="N46" s="447">
        <v>0</v>
      </c>
      <c r="O46" s="442">
        <f t="shared" si="4"/>
        <v>0</v>
      </c>
    </row>
    <row r="47" spans="1:15" x14ac:dyDescent="0.2">
      <c r="A47" s="25" t="s">
        <v>136</v>
      </c>
      <c r="B47" s="59" t="s">
        <v>47</v>
      </c>
      <c r="C47" s="77">
        <v>0</v>
      </c>
      <c r="D47" s="77">
        <v>0</v>
      </c>
      <c r="E47" s="77">
        <v>0</v>
      </c>
      <c r="F47" s="77">
        <v>0</v>
      </c>
      <c r="G47" s="77">
        <v>0</v>
      </c>
      <c r="H47" s="77">
        <v>0</v>
      </c>
      <c r="I47" s="77">
        <v>0</v>
      </c>
      <c r="J47" s="77">
        <v>0</v>
      </c>
      <c r="K47" s="77">
        <v>0</v>
      </c>
      <c r="L47" s="77">
        <v>0</v>
      </c>
      <c r="M47" s="77">
        <v>0</v>
      </c>
      <c r="N47" s="77">
        <v>0</v>
      </c>
      <c r="O47" s="430">
        <f t="shared" si="4"/>
        <v>0</v>
      </c>
    </row>
    <row r="48" spans="1:15" x14ac:dyDescent="0.2">
      <c r="A48" s="448" t="s">
        <v>136</v>
      </c>
      <c r="B48" s="441" t="s">
        <v>47</v>
      </c>
      <c r="C48" s="447">
        <v>0</v>
      </c>
      <c r="D48" s="447">
        <v>0</v>
      </c>
      <c r="E48" s="447">
        <v>0</v>
      </c>
      <c r="F48" s="447">
        <v>0</v>
      </c>
      <c r="G48" s="447">
        <v>0</v>
      </c>
      <c r="H48" s="447">
        <v>0</v>
      </c>
      <c r="I48" s="447">
        <v>0</v>
      </c>
      <c r="J48" s="447">
        <v>0</v>
      </c>
      <c r="K48" s="447">
        <v>0</v>
      </c>
      <c r="L48" s="447">
        <v>0</v>
      </c>
      <c r="M48" s="447">
        <v>0</v>
      </c>
      <c r="N48" s="447">
        <v>0</v>
      </c>
      <c r="O48" s="442">
        <f t="shared" si="4"/>
        <v>0</v>
      </c>
    </row>
    <row r="49" spans="1:20" x14ac:dyDescent="0.2">
      <c r="A49" s="25" t="s">
        <v>136</v>
      </c>
      <c r="B49" s="59" t="s">
        <v>47</v>
      </c>
      <c r="C49" s="77">
        <v>0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7">
        <v>0</v>
      </c>
      <c r="K49" s="77">
        <v>0</v>
      </c>
      <c r="L49" s="77">
        <v>0</v>
      </c>
      <c r="M49" s="77">
        <v>0</v>
      </c>
      <c r="N49" s="77">
        <v>0</v>
      </c>
      <c r="O49" s="430">
        <f t="shared" si="4"/>
        <v>0</v>
      </c>
    </row>
    <row r="50" spans="1:20" x14ac:dyDescent="0.2">
      <c r="A50" s="448" t="s">
        <v>136</v>
      </c>
      <c r="B50" s="441" t="s">
        <v>47</v>
      </c>
      <c r="C50" s="447">
        <v>0</v>
      </c>
      <c r="D50" s="447">
        <v>0</v>
      </c>
      <c r="E50" s="447">
        <v>0</v>
      </c>
      <c r="F50" s="447">
        <v>0</v>
      </c>
      <c r="G50" s="447">
        <v>0</v>
      </c>
      <c r="H50" s="447">
        <v>0</v>
      </c>
      <c r="I50" s="447">
        <v>0</v>
      </c>
      <c r="J50" s="447">
        <v>0</v>
      </c>
      <c r="K50" s="447">
        <v>0</v>
      </c>
      <c r="L50" s="447">
        <v>0</v>
      </c>
      <c r="M50" s="447">
        <v>0</v>
      </c>
      <c r="N50" s="447">
        <v>0</v>
      </c>
      <c r="O50" s="442">
        <f t="shared" si="4"/>
        <v>0</v>
      </c>
    </row>
    <row r="51" spans="1:20" x14ac:dyDescent="0.2">
      <c r="A51" s="25" t="s">
        <v>136</v>
      </c>
      <c r="B51" s="59" t="s">
        <v>47</v>
      </c>
      <c r="C51" s="77">
        <v>0</v>
      </c>
      <c r="D51" s="77">
        <v>0</v>
      </c>
      <c r="E51" s="77">
        <v>0</v>
      </c>
      <c r="F51" s="77">
        <v>0</v>
      </c>
      <c r="G51" s="77">
        <v>0</v>
      </c>
      <c r="H51" s="77">
        <v>0</v>
      </c>
      <c r="I51" s="77">
        <v>0</v>
      </c>
      <c r="J51" s="77">
        <v>0</v>
      </c>
      <c r="K51" s="77">
        <v>0</v>
      </c>
      <c r="L51" s="77">
        <v>0</v>
      </c>
      <c r="M51" s="77">
        <v>0</v>
      </c>
      <c r="N51" s="77">
        <v>0</v>
      </c>
      <c r="O51" s="430">
        <f t="shared" si="4"/>
        <v>0</v>
      </c>
    </row>
    <row r="52" spans="1:20" x14ac:dyDescent="0.2">
      <c r="A52" s="448" t="s">
        <v>136</v>
      </c>
      <c r="B52" s="441" t="s">
        <v>47</v>
      </c>
      <c r="C52" s="447">
        <v>0</v>
      </c>
      <c r="D52" s="447">
        <v>0</v>
      </c>
      <c r="E52" s="447">
        <v>0</v>
      </c>
      <c r="F52" s="447">
        <v>0</v>
      </c>
      <c r="G52" s="447">
        <v>0</v>
      </c>
      <c r="H52" s="447">
        <v>0</v>
      </c>
      <c r="I52" s="447">
        <v>0</v>
      </c>
      <c r="J52" s="447">
        <v>0</v>
      </c>
      <c r="K52" s="447">
        <v>0</v>
      </c>
      <c r="L52" s="447">
        <v>0</v>
      </c>
      <c r="M52" s="447">
        <v>0</v>
      </c>
      <c r="N52" s="447">
        <v>0</v>
      </c>
      <c r="O52" s="442">
        <f t="shared" si="4"/>
        <v>0</v>
      </c>
    </row>
    <row r="54" spans="1:20" x14ac:dyDescent="0.2">
      <c r="A54" s="62" t="s">
        <v>542</v>
      </c>
      <c r="C54" s="492">
        <f>SUM(C31:C53)</f>
        <v>0</v>
      </c>
      <c r="D54" s="492">
        <f t="shared" ref="D54:O54" si="5">SUM(D31:D53)</f>
        <v>0</v>
      </c>
      <c r="E54" s="492">
        <f t="shared" si="5"/>
        <v>0</v>
      </c>
      <c r="F54" s="492">
        <f t="shared" si="5"/>
        <v>0</v>
      </c>
      <c r="G54" s="492">
        <f t="shared" si="5"/>
        <v>0</v>
      </c>
      <c r="H54" s="492">
        <f t="shared" si="5"/>
        <v>0</v>
      </c>
      <c r="I54" s="492">
        <f t="shared" si="5"/>
        <v>0</v>
      </c>
      <c r="J54" s="492">
        <f t="shared" si="5"/>
        <v>0</v>
      </c>
      <c r="K54" s="492">
        <f t="shared" si="5"/>
        <v>0</v>
      </c>
      <c r="L54" s="492">
        <f t="shared" si="5"/>
        <v>0</v>
      </c>
      <c r="M54" s="492">
        <f t="shared" si="5"/>
        <v>0</v>
      </c>
      <c r="N54" s="492">
        <f t="shared" si="5"/>
        <v>0</v>
      </c>
      <c r="O54" s="492">
        <f t="shared" si="5"/>
        <v>0</v>
      </c>
    </row>
    <row r="55" spans="1:20" x14ac:dyDescent="0.2">
      <c r="C55" s="444">
        <f>C54</f>
        <v>0</v>
      </c>
      <c r="D55" s="444">
        <f>C55+D54</f>
        <v>0</v>
      </c>
      <c r="E55" s="444">
        <f t="shared" ref="E55:N55" si="6">D55+E54</f>
        <v>0</v>
      </c>
      <c r="F55" s="444">
        <f t="shared" si="6"/>
        <v>0</v>
      </c>
      <c r="G55" s="444">
        <f t="shared" si="6"/>
        <v>0</v>
      </c>
      <c r="H55" s="444">
        <f t="shared" si="6"/>
        <v>0</v>
      </c>
      <c r="I55" s="444">
        <f t="shared" si="6"/>
        <v>0</v>
      </c>
      <c r="J55" s="444">
        <f t="shared" si="6"/>
        <v>0</v>
      </c>
      <c r="K55" s="444">
        <f t="shared" si="6"/>
        <v>0</v>
      </c>
      <c r="L55" s="444">
        <f t="shared" si="6"/>
        <v>0</v>
      </c>
      <c r="M55" s="444">
        <f t="shared" si="6"/>
        <v>0</v>
      </c>
      <c r="N55" s="444">
        <f t="shared" si="6"/>
        <v>0</v>
      </c>
      <c r="O55" s="444"/>
      <c r="P55" s="444"/>
      <c r="Q55" s="444"/>
      <c r="R55" s="444"/>
      <c r="S55" s="444"/>
      <c r="T55" s="444"/>
    </row>
    <row r="57" spans="1:20" x14ac:dyDescent="0.2">
      <c r="A57" s="149" t="s">
        <v>285</v>
      </c>
      <c r="C57" s="430">
        <f>C28</f>
        <v>0</v>
      </c>
      <c r="D57" s="430">
        <f t="shared" ref="D57:N57" si="7">D28</f>
        <v>0</v>
      </c>
      <c r="E57" s="430">
        <f t="shared" si="7"/>
        <v>0</v>
      </c>
      <c r="F57" s="430">
        <f t="shared" si="7"/>
        <v>0</v>
      </c>
      <c r="G57" s="430">
        <f t="shared" si="7"/>
        <v>0</v>
      </c>
      <c r="H57" s="430">
        <f t="shared" si="7"/>
        <v>0</v>
      </c>
      <c r="I57" s="430">
        <f t="shared" si="7"/>
        <v>0</v>
      </c>
      <c r="J57" s="430">
        <f t="shared" si="7"/>
        <v>0</v>
      </c>
      <c r="K57" s="430">
        <f t="shared" si="7"/>
        <v>0</v>
      </c>
      <c r="L57" s="430">
        <f t="shared" si="7"/>
        <v>0</v>
      </c>
      <c r="M57" s="430">
        <f t="shared" si="7"/>
        <v>0</v>
      </c>
      <c r="N57" s="430">
        <f t="shared" si="7"/>
        <v>0</v>
      </c>
    </row>
    <row r="58" spans="1:20" x14ac:dyDescent="0.2">
      <c r="A58" s="149" t="s">
        <v>286</v>
      </c>
      <c r="C58" s="430">
        <f>C55</f>
        <v>0</v>
      </c>
      <c r="D58" s="430">
        <f t="shared" ref="D58:N58" si="8">D55</f>
        <v>0</v>
      </c>
      <c r="E58" s="430">
        <f t="shared" si="8"/>
        <v>0</v>
      </c>
      <c r="F58" s="430">
        <f t="shared" si="8"/>
        <v>0</v>
      </c>
      <c r="G58" s="430">
        <f t="shared" si="8"/>
        <v>0</v>
      </c>
      <c r="H58" s="430">
        <f t="shared" si="8"/>
        <v>0</v>
      </c>
      <c r="I58" s="430">
        <f t="shared" si="8"/>
        <v>0</v>
      </c>
      <c r="J58" s="430">
        <f t="shared" si="8"/>
        <v>0</v>
      </c>
      <c r="K58" s="430">
        <f t="shared" si="8"/>
        <v>0</v>
      </c>
      <c r="L58" s="430">
        <f t="shared" si="8"/>
        <v>0</v>
      </c>
      <c r="M58" s="430">
        <f t="shared" si="8"/>
        <v>0</v>
      </c>
      <c r="N58" s="430">
        <f t="shared" si="8"/>
        <v>0</v>
      </c>
    </row>
    <row r="59" spans="1:20" x14ac:dyDescent="0.2">
      <c r="A59" s="149" t="s">
        <v>2</v>
      </c>
    </row>
    <row r="60" spans="1:20" x14ac:dyDescent="0.2">
      <c r="A60" s="149" t="s">
        <v>287</v>
      </c>
      <c r="C60" s="493">
        <f>IF(C58&gt;C57,0,C57-C58)</f>
        <v>0</v>
      </c>
      <c r="D60" s="493">
        <f t="shared" ref="D60:N60" si="9">IF(D58&gt;D57,0,D57-D58)</f>
        <v>0</v>
      </c>
      <c r="E60" s="493">
        <f t="shared" si="9"/>
        <v>0</v>
      </c>
      <c r="F60" s="493">
        <f t="shared" si="9"/>
        <v>0</v>
      </c>
      <c r="G60" s="493">
        <f t="shared" si="9"/>
        <v>0</v>
      </c>
      <c r="H60" s="493">
        <f t="shared" si="9"/>
        <v>0</v>
      </c>
      <c r="I60" s="493">
        <f t="shared" si="9"/>
        <v>0</v>
      </c>
      <c r="J60" s="493">
        <f t="shared" si="9"/>
        <v>0</v>
      </c>
      <c r="K60" s="493">
        <f t="shared" si="9"/>
        <v>0</v>
      </c>
      <c r="L60" s="493">
        <f t="shared" si="9"/>
        <v>0</v>
      </c>
      <c r="M60" s="493">
        <f t="shared" si="9"/>
        <v>0</v>
      </c>
      <c r="N60" s="493">
        <f t="shared" si="9"/>
        <v>0</v>
      </c>
    </row>
    <row r="61" spans="1:20" x14ac:dyDescent="0.2">
      <c r="A61" s="62" t="s">
        <v>138</v>
      </c>
      <c r="C61" s="432">
        <v>0.17499999999999999</v>
      </c>
      <c r="D61" s="432">
        <f>C61</f>
        <v>0.17499999999999999</v>
      </c>
      <c r="E61" s="432">
        <f t="shared" ref="E61:N61" si="10">D61</f>
        <v>0.17499999999999999</v>
      </c>
      <c r="F61" s="432">
        <f t="shared" si="10"/>
        <v>0.17499999999999999</v>
      </c>
      <c r="G61" s="432">
        <f t="shared" si="10"/>
        <v>0.17499999999999999</v>
      </c>
      <c r="H61" s="432">
        <f t="shared" si="10"/>
        <v>0.17499999999999999</v>
      </c>
      <c r="I61" s="432">
        <f t="shared" si="10"/>
        <v>0.17499999999999999</v>
      </c>
      <c r="J61" s="432">
        <f t="shared" si="10"/>
        <v>0.17499999999999999</v>
      </c>
      <c r="K61" s="432">
        <f t="shared" si="10"/>
        <v>0.17499999999999999</v>
      </c>
      <c r="L61" s="432">
        <f t="shared" si="10"/>
        <v>0.17499999999999999</v>
      </c>
      <c r="M61" s="432">
        <f t="shared" si="10"/>
        <v>0.17499999999999999</v>
      </c>
      <c r="N61" s="432">
        <f t="shared" si="10"/>
        <v>0.17499999999999999</v>
      </c>
    </row>
    <row r="62" spans="1:20" x14ac:dyDescent="0.2">
      <c r="A62" s="62" t="s">
        <v>288</v>
      </c>
      <c r="C62" s="494">
        <f>ROUND(C60*C61,2)</f>
        <v>0</v>
      </c>
      <c r="D62" s="494">
        <f t="shared" ref="D62:N62" si="11">ROUND(D60*D61,2)</f>
        <v>0</v>
      </c>
      <c r="E62" s="494">
        <f t="shared" si="11"/>
        <v>0</v>
      </c>
      <c r="F62" s="494">
        <f t="shared" si="11"/>
        <v>0</v>
      </c>
      <c r="G62" s="494">
        <f t="shared" si="11"/>
        <v>0</v>
      </c>
      <c r="H62" s="494">
        <f t="shared" si="11"/>
        <v>0</v>
      </c>
      <c r="I62" s="494">
        <f t="shared" si="11"/>
        <v>0</v>
      </c>
      <c r="J62" s="494">
        <f t="shared" si="11"/>
        <v>0</v>
      </c>
      <c r="K62" s="494">
        <f t="shared" si="11"/>
        <v>0</v>
      </c>
      <c r="L62" s="494">
        <f t="shared" si="11"/>
        <v>0</v>
      </c>
      <c r="M62" s="494">
        <f t="shared" si="11"/>
        <v>0</v>
      </c>
      <c r="N62" s="494">
        <f t="shared" si="11"/>
        <v>0</v>
      </c>
    </row>
    <row r="63" spans="1:20" x14ac:dyDescent="0.2">
      <c r="A63" s="62"/>
      <c r="C63" s="427"/>
      <c r="D63" s="427"/>
      <c r="E63" s="427"/>
      <c r="F63" s="427"/>
      <c r="G63" s="427"/>
      <c r="H63" s="427"/>
      <c r="I63" s="427"/>
      <c r="J63" s="427"/>
      <c r="K63" s="427"/>
      <c r="L63" s="427"/>
      <c r="M63" s="427"/>
      <c r="N63" s="427"/>
    </row>
    <row r="64" spans="1:20" x14ac:dyDescent="0.2">
      <c r="A64" s="15" t="s">
        <v>140</v>
      </c>
    </row>
    <row r="65" spans="1:14" x14ac:dyDescent="0.2">
      <c r="A65" s="149" t="s">
        <v>579</v>
      </c>
      <c r="B65" s="59" t="s">
        <v>47</v>
      </c>
      <c r="C65" s="77">
        <v>0</v>
      </c>
      <c r="D65" s="77">
        <v>0</v>
      </c>
      <c r="E65" s="77">
        <v>0</v>
      </c>
      <c r="F65" s="77">
        <v>0</v>
      </c>
      <c r="G65" s="77">
        <v>0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</row>
    <row r="66" spans="1:14" x14ac:dyDescent="0.2">
      <c r="A66" s="149" t="s">
        <v>582</v>
      </c>
      <c r="B66" s="59"/>
      <c r="C66" s="478">
        <f>+C65</f>
        <v>0</v>
      </c>
      <c r="D66" s="478">
        <f>+C66+D65</f>
        <v>0</v>
      </c>
      <c r="E66" s="478">
        <f t="shared" ref="E66:N66" si="12">+D66+E65</f>
        <v>0</v>
      </c>
      <c r="F66" s="478">
        <f t="shared" si="12"/>
        <v>0</v>
      </c>
      <c r="G66" s="478">
        <f t="shared" si="12"/>
        <v>0</v>
      </c>
      <c r="H66" s="478">
        <f t="shared" si="12"/>
        <v>0</v>
      </c>
      <c r="I66" s="478">
        <f t="shared" si="12"/>
        <v>0</v>
      </c>
      <c r="J66" s="478">
        <f t="shared" si="12"/>
        <v>0</v>
      </c>
      <c r="K66" s="478">
        <f t="shared" si="12"/>
        <v>0</v>
      </c>
      <c r="L66" s="478">
        <f t="shared" si="12"/>
        <v>0</v>
      </c>
      <c r="M66" s="478">
        <f t="shared" si="12"/>
        <v>0</v>
      </c>
      <c r="N66" s="478">
        <f t="shared" si="12"/>
        <v>0</v>
      </c>
    </row>
    <row r="67" spans="1:14" x14ac:dyDescent="0.2">
      <c r="A67" s="149"/>
      <c r="B67" s="59"/>
      <c r="C67" s="471"/>
      <c r="D67" s="471"/>
      <c r="E67" s="471"/>
      <c r="F67" s="471"/>
      <c r="G67" s="471"/>
      <c r="H67" s="471"/>
      <c r="I67" s="471"/>
      <c r="J67" s="471"/>
      <c r="K67" s="471"/>
      <c r="L67" s="471"/>
      <c r="M67" s="471"/>
      <c r="N67" s="471"/>
    </row>
    <row r="68" spans="1:14" x14ac:dyDescent="0.2">
      <c r="A68" s="473" t="s">
        <v>580</v>
      </c>
      <c r="B68" s="59"/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</row>
    <row r="69" spans="1:14" x14ac:dyDescent="0.2">
      <c r="A69" s="62" t="s">
        <v>538</v>
      </c>
      <c r="B69" s="59"/>
      <c r="C69" s="474">
        <f>Arr_Acum!C25</f>
        <v>0</v>
      </c>
      <c r="D69" s="474">
        <f>Arr_Acum!D25</f>
        <v>0</v>
      </c>
      <c r="E69" s="474">
        <f>Arr_Acum!E25</f>
        <v>0</v>
      </c>
      <c r="F69" s="474">
        <f>Arr_Acum!F25</f>
        <v>0</v>
      </c>
      <c r="G69" s="474">
        <f>Arr_Acum!G25</f>
        <v>0</v>
      </c>
      <c r="H69" s="474">
        <f>Arr_Acum!H25</f>
        <v>0</v>
      </c>
      <c r="I69" s="474">
        <f>Arr_Acum!I25</f>
        <v>0</v>
      </c>
      <c r="J69" s="474">
        <f>Arr_Acum!J25</f>
        <v>0</v>
      </c>
      <c r="K69" s="474">
        <f>Arr_Acum!K25</f>
        <v>0</v>
      </c>
      <c r="L69" s="474">
        <f>Arr_Acum!L25</f>
        <v>0</v>
      </c>
      <c r="M69" s="474">
        <f>Arr_Acum!M25</f>
        <v>0</v>
      </c>
      <c r="N69" s="474">
        <f>Arr_Acum!N25</f>
        <v>0</v>
      </c>
    </row>
    <row r="70" spans="1:14" x14ac:dyDescent="0.2">
      <c r="A70" s="62" t="s">
        <v>539</v>
      </c>
      <c r="B70" s="59"/>
      <c r="C70" s="474">
        <f>Hono_Acum!C31</f>
        <v>0</v>
      </c>
      <c r="D70" s="474">
        <f>Hono_Acum!D31</f>
        <v>0</v>
      </c>
      <c r="E70" s="474">
        <f>Hono_Acum!E31</f>
        <v>0</v>
      </c>
      <c r="F70" s="474">
        <f>Hono_Acum!F31</f>
        <v>0</v>
      </c>
      <c r="G70" s="474">
        <f>Hono_Acum!G31</f>
        <v>0</v>
      </c>
      <c r="H70" s="474">
        <f>Hono_Acum!H31</f>
        <v>0</v>
      </c>
      <c r="I70" s="474">
        <f>Hono_Acum!I31</f>
        <v>0</v>
      </c>
      <c r="J70" s="474">
        <f>Hono_Acum!J31</f>
        <v>0</v>
      </c>
      <c r="K70" s="474">
        <f>Hono_Acum!K31</f>
        <v>0</v>
      </c>
      <c r="L70" s="474">
        <f>Hono_Acum!L31</f>
        <v>0</v>
      </c>
      <c r="M70" s="474">
        <f>Hono_Acum!M31</f>
        <v>0</v>
      </c>
      <c r="N70" s="474">
        <f>Hono_Acum!N31</f>
        <v>0</v>
      </c>
    </row>
    <row r="71" spans="1:14" x14ac:dyDescent="0.2">
      <c r="A71" s="461" t="s">
        <v>544</v>
      </c>
      <c r="B71" s="59" t="s">
        <v>47</v>
      </c>
      <c r="C71" s="472">
        <v>0</v>
      </c>
      <c r="D71" s="472">
        <v>0</v>
      </c>
      <c r="E71" s="472">
        <v>0</v>
      </c>
      <c r="F71" s="472">
        <v>0</v>
      </c>
      <c r="G71" s="472">
        <v>0</v>
      </c>
      <c r="H71" s="472">
        <v>0</v>
      </c>
      <c r="I71" s="472">
        <v>0</v>
      </c>
      <c r="J71" s="472">
        <v>0</v>
      </c>
      <c r="K71" s="472">
        <v>0</v>
      </c>
      <c r="L71" s="472">
        <v>0</v>
      </c>
      <c r="M71" s="472">
        <v>0</v>
      </c>
      <c r="N71" s="472">
        <v>0</v>
      </c>
    </row>
    <row r="72" spans="1:14" x14ac:dyDescent="0.2">
      <c r="A72" s="461"/>
      <c r="B72" s="59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</row>
    <row r="73" spans="1:14" x14ac:dyDescent="0.2">
      <c r="A73" s="149" t="s">
        <v>581</v>
      </c>
      <c r="B73" s="59"/>
    </row>
    <row r="74" spans="1:14" x14ac:dyDescent="0.2">
      <c r="A74" s="62" t="s">
        <v>270</v>
      </c>
      <c r="B74" s="59" t="s">
        <v>47</v>
      </c>
      <c r="C74" s="77">
        <v>0</v>
      </c>
      <c r="D74" s="77">
        <v>0</v>
      </c>
      <c r="E74" s="77">
        <v>0</v>
      </c>
      <c r="F74" s="77">
        <v>0</v>
      </c>
      <c r="G74" s="77">
        <v>0</v>
      </c>
      <c r="H74" s="77">
        <v>0</v>
      </c>
      <c r="I74" s="77">
        <v>0</v>
      </c>
      <c r="J74" s="77">
        <v>0</v>
      </c>
      <c r="K74" s="77">
        <v>0</v>
      </c>
      <c r="L74" s="77">
        <v>0</v>
      </c>
      <c r="M74" s="77">
        <v>0</v>
      </c>
      <c r="N74" s="77">
        <v>0</v>
      </c>
    </row>
    <row r="75" spans="1:14" x14ac:dyDescent="0.2">
      <c r="A75" s="62"/>
      <c r="B75" s="59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1:14" x14ac:dyDescent="0.2">
      <c r="A76" s="62" t="s">
        <v>583</v>
      </c>
      <c r="B76" s="59"/>
      <c r="C76" s="476">
        <f>SUM(C69:C74)</f>
        <v>0</v>
      </c>
      <c r="D76" s="476">
        <f t="shared" ref="D76:N76" si="13">SUM(D69:D74)</f>
        <v>0</v>
      </c>
      <c r="E76" s="476">
        <f t="shared" si="13"/>
        <v>0</v>
      </c>
      <c r="F76" s="476">
        <f t="shared" si="13"/>
        <v>0</v>
      </c>
      <c r="G76" s="476">
        <f t="shared" si="13"/>
        <v>0</v>
      </c>
      <c r="H76" s="476">
        <f t="shared" si="13"/>
        <v>0</v>
      </c>
      <c r="I76" s="476">
        <f t="shared" si="13"/>
        <v>0</v>
      </c>
      <c r="J76" s="476">
        <f t="shared" si="13"/>
        <v>0</v>
      </c>
      <c r="K76" s="476">
        <f t="shared" si="13"/>
        <v>0</v>
      </c>
      <c r="L76" s="476">
        <f t="shared" si="13"/>
        <v>0</v>
      </c>
      <c r="M76" s="476">
        <f t="shared" si="13"/>
        <v>0</v>
      </c>
      <c r="N76" s="476">
        <f t="shared" si="13"/>
        <v>0</v>
      </c>
    </row>
    <row r="77" spans="1:14" x14ac:dyDescent="0.2">
      <c r="A77" s="62" t="s">
        <v>584</v>
      </c>
      <c r="B77" s="59"/>
      <c r="C77" s="479">
        <f>+C76</f>
        <v>0</v>
      </c>
      <c r="D77" s="479">
        <f>+C77+D76</f>
        <v>0</v>
      </c>
      <c r="E77" s="479">
        <f t="shared" ref="E77:N77" si="14">+D77+E76</f>
        <v>0</v>
      </c>
      <c r="F77" s="479">
        <f t="shared" si="14"/>
        <v>0</v>
      </c>
      <c r="G77" s="479">
        <f t="shared" si="14"/>
        <v>0</v>
      </c>
      <c r="H77" s="479">
        <f t="shared" si="14"/>
        <v>0</v>
      </c>
      <c r="I77" s="479">
        <f t="shared" si="14"/>
        <v>0</v>
      </c>
      <c r="J77" s="479">
        <f t="shared" si="14"/>
        <v>0</v>
      </c>
      <c r="K77" s="479">
        <f t="shared" si="14"/>
        <v>0</v>
      </c>
      <c r="L77" s="479">
        <f t="shared" si="14"/>
        <v>0</v>
      </c>
      <c r="M77" s="479">
        <f t="shared" si="14"/>
        <v>0</v>
      </c>
      <c r="N77" s="479">
        <f t="shared" si="14"/>
        <v>0</v>
      </c>
    </row>
    <row r="78" spans="1:14" x14ac:dyDescent="0.2">
      <c r="A78" s="62"/>
      <c r="B78" s="59"/>
      <c r="C78" s="477"/>
      <c r="D78" s="477"/>
      <c r="E78" s="477"/>
      <c r="F78" s="477"/>
      <c r="G78" s="477"/>
      <c r="H78" s="477"/>
      <c r="I78" s="477"/>
      <c r="J78" s="477"/>
      <c r="K78" s="477"/>
      <c r="L78" s="477"/>
      <c r="M78" s="477"/>
      <c r="N78" s="477"/>
    </row>
    <row r="79" spans="1:14" x14ac:dyDescent="0.2">
      <c r="A79" s="473" t="s">
        <v>543</v>
      </c>
      <c r="C79" s="476">
        <f>IF((C62-C66-C77)&lt;0,0,C62-C66-C77)</f>
        <v>0</v>
      </c>
      <c r="D79" s="476">
        <f>IF((D62-D66-D77)&lt;0,0,D62-D66-D77)</f>
        <v>0</v>
      </c>
      <c r="E79" s="476">
        <f>IF((E62-E66-E77)&lt;0,0,E62-E66-E77)</f>
        <v>0</v>
      </c>
      <c r="F79" s="476">
        <f t="shared" ref="F79:N79" si="15">IF((F62-F66-F77)&lt;0,0,F62-F66-F77)</f>
        <v>0</v>
      </c>
      <c r="G79" s="476">
        <f t="shared" si="15"/>
        <v>0</v>
      </c>
      <c r="H79" s="476">
        <f t="shared" si="15"/>
        <v>0</v>
      </c>
      <c r="I79" s="476">
        <f t="shared" si="15"/>
        <v>0</v>
      </c>
      <c r="J79" s="476">
        <f t="shared" si="15"/>
        <v>0</v>
      </c>
      <c r="K79" s="476">
        <f t="shared" si="15"/>
        <v>0</v>
      </c>
      <c r="L79" s="476">
        <f t="shared" si="15"/>
        <v>0</v>
      </c>
      <c r="M79" s="476">
        <f t="shared" si="15"/>
        <v>0</v>
      </c>
      <c r="N79" s="476">
        <f t="shared" si="15"/>
        <v>0</v>
      </c>
    </row>
    <row r="80" spans="1:14" x14ac:dyDescent="0.2">
      <c r="A80" s="149"/>
    </row>
    <row r="81" spans="1:19" x14ac:dyDescent="0.2">
      <c r="A81" s="149" t="s">
        <v>290</v>
      </c>
      <c r="C81" s="433"/>
      <c r="D81" s="476">
        <f>C86</f>
        <v>0</v>
      </c>
      <c r="E81" s="476">
        <f t="shared" ref="E81:N81" si="16">D86</f>
        <v>0</v>
      </c>
      <c r="F81" s="476">
        <f t="shared" si="16"/>
        <v>0</v>
      </c>
      <c r="G81" s="476">
        <f t="shared" si="16"/>
        <v>0</v>
      </c>
      <c r="H81" s="476">
        <f t="shared" si="16"/>
        <v>0</v>
      </c>
      <c r="I81" s="476">
        <f t="shared" si="16"/>
        <v>0</v>
      </c>
      <c r="J81" s="476">
        <f t="shared" si="16"/>
        <v>0</v>
      </c>
      <c r="K81" s="476">
        <f t="shared" si="16"/>
        <v>0</v>
      </c>
      <c r="L81" s="476">
        <f t="shared" si="16"/>
        <v>0</v>
      </c>
      <c r="M81" s="476">
        <f t="shared" si="16"/>
        <v>0</v>
      </c>
      <c r="N81" s="476">
        <f t="shared" si="16"/>
        <v>0</v>
      </c>
    </row>
    <row r="82" spans="1:19" x14ac:dyDescent="0.2">
      <c r="A82" s="62"/>
    </row>
    <row r="83" spans="1:19" x14ac:dyDescent="0.2">
      <c r="A83" s="62" t="s">
        <v>201</v>
      </c>
      <c r="C83" s="431">
        <f>IF(C79&gt;C81,C79-C81,0)</f>
        <v>0</v>
      </c>
      <c r="D83" s="431">
        <f t="shared" ref="D83:M83" si="17">IF(D79&gt;D81,D79-D81,0)</f>
        <v>0</v>
      </c>
      <c r="E83" s="431">
        <f t="shared" si="17"/>
        <v>0</v>
      </c>
      <c r="F83" s="431">
        <f t="shared" si="17"/>
        <v>0</v>
      </c>
      <c r="G83" s="431">
        <f t="shared" si="17"/>
        <v>0</v>
      </c>
      <c r="H83" s="431">
        <f t="shared" si="17"/>
        <v>0</v>
      </c>
      <c r="I83" s="431">
        <f t="shared" si="17"/>
        <v>0</v>
      </c>
      <c r="J83" s="431">
        <f t="shared" si="17"/>
        <v>0</v>
      </c>
      <c r="K83" s="431">
        <f t="shared" si="17"/>
        <v>0</v>
      </c>
      <c r="L83" s="431">
        <f t="shared" si="17"/>
        <v>0</v>
      </c>
      <c r="M83" s="431">
        <f t="shared" si="17"/>
        <v>0</v>
      </c>
      <c r="N83" s="431">
        <f>IF(N79&gt;N81,N79-N81,0)</f>
        <v>0</v>
      </c>
      <c r="O83" s="431">
        <f>SUM(C83:N83)</f>
        <v>0</v>
      </c>
    </row>
    <row r="84" spans="1:19" x14ac:dyDescent="0.2">
      <c r="A84" s="149" t="s">
        <v>291</v>
      </c>
      <c r="C84" s="431">
        <f>IF(C81&gt;C79,C81-C79,0)</f>
        <v>0</v>
      </c>
      <c r="D84" s="431">
        <f t="shared" ref="D84:M84" si="18">IF(D81&gt;D79,D81-D79,0)</f>
        <v>0</v>
      </c>
      <c r="E84" s="431">
        <f t="shared" si="18"/>
        <v>0</v>
      </c>
      <c r="F84" s="431">
        <f t="shared" si="18"/>
        <v>0</v>
      </c>
      <c r="G84" s="431">
        <f t="shared" si="18"/>
        <v>0</v>
      </c>
      <c r="H84" s="431">
        <f t="shared" si="18"/>
        <v>0</v>
      </c>
      <c r="I84" s="431">
        <f t="shared" si="18"/>
        <v>0</v>
      </c>
      <c r="J84" s="431">
        <f t="shared" si="18"/>
        <v>0</v>
      </c>
      <c r="K84" s="431">
        <f t="shared" si="18"/>
        <v>0</v>
      </c>
      <c r="L84" s="431">
        <f t="shared" si="18"/>
        <v>0</v>
      </c>
      <c r="M84" s="431">
        <f t="shared" si="18"/>
        <v>0</v>
      </c>
      <c r="N84" s="431">
        <f>IF(N81&gt;N79,N81-N79,0)</f>
        <v>0</v>
      </c>
      <c r="O84" s="431">
        <f>SUM(C84:N84)</f>
        <v>0</v>
      </c>
    </row>
    <row r="86" spans="1:19" x14ac:dyDescent="0.2">
      <c r="C86" s="444">
        <f>C83</f>
        <v>0</v>
      </c>
      <c r="D86" s="444">
        <f>C86+D83</f>
        <v>0</v>
      </c>
      <c r="E86" s="444">
        <f t="shared" ref="E86:M86" si="19">D86+E83</f>
        <v>0</v>
      </c>
      <c r="F86" s="444">
        <f t="shared" si="19"/>
        <v>0</v>
      </c>
      <c r="G86" s="444">
        <f t="shared" si="19"/>
        <v>0</v>
      </c>
      <c r="H86" s="444">
        <f t="shared" si="19"/>
        <v>0</v>
      </c>
      <c r="I86" s="444">
        <f t="shared" si="19"/>
        <v>0</v>
      </c>
      <c r="J86" s="444">
        <f t="shared" si="19"/>
        <v>0</v>
      </c>
      <c r="K86" s="444">
        <f t="shared" si="19"/>
        <v>0</v>
      </c>
      <c r="L86" s="444">
        <f t="shared" si="19"/>
        <v>0</v>
      </c>
      <c r="M86" s="444">
        <f t="shared" si="19"/>
        <v>0</v>
      </c>
      <c r="N86" s="444">
        <f>M86+N83</f>
        <v>0</v>
      </c>
      <c r="O86" s="444"/>
      <c r="P86" s="444"/>
      <c r="Q86" s="444"/>
      <c r="R86" s="444"/>
      <c r="S86" s="444"/>
    </row>
    <row r="90" spans="1:19" ht="13.5" thickBot="1" x14ac:dyDescent="0.25"/>
    <row r="91" spans="1:19" x14ac:dyDescent="0.2">
      <c r="A91" s="434" t="s">
        <v>547</v>
      </c>
    </row>
    <row r="92" spans="1:19" x14ac:dyDescent="0.2">
      <c r="A92" s="438" t="s">
        <v>548</v>
      </c>
    </row>
    <row r="93" spans="1:19" s="10" customFormat="1" x14ac:dyDescent="0.2">
      <c r="C93" s="439"/>
      <c r="D93" s="439"/>
      <c r="E93" s="439"/>
      <c r="F93" s="439"/>
      <c r="G93" s="439"/>
      <c r="H93" s="439"/>
      <c r="I93" s="439"/>
      <c r="J93" s="439"/>
      <c r="K93" s="439"/>
      <c r="L93" s="439"/>
      <c r="M93" s="439"/>
      <c r="N93" s="439"/>
      <c r="O93" s="439"/>
    </row>
    <row r="94" spans="1:19" x14ac:dyDescent="0.2">
      <c r="A94" s="15" t="s">
        <v>549</v>
      </c>
    </row>
    <row r="95" spans="1:19" x14ac:dyDescent="0.2">
      <c r="A95" s="21" t="s">
        <v>602</v>
      </c>
      <c r="B95" s="59" t="s">
        <v>47</v>
      </c>
      <c r="C95" s="77">
        <v>0</v>
      </c>
      <c r="D95" s="77">
        <v>0</v>
      </c>
      <c r="E95" s="77">
        <v>0</v>
      </c>
      <c r="F95" s="77">
        <v>0</v>
      </c>
      <c r="G95" s="77">
        <v>0</v>
      </c>
      <c r="H95" s="77">
        <v>0</v>
      </c>
      <c r="I95" s="77">
        <v>0</v>
      </c>
      <c r="J95" s="77">
        <v>0</v>
      </c>
      <c r="K95" s="77">
        <v>0</v>
      </c>
      <c r="L95" s="77">
        <v>0</v>
      </c>
      <c r="M95" s="77">
        <v>0</v>
      </c>
      <c r="N95" s="77">
        <v>0</v>
      </c>
      <c r="O95" s="430">
        <f>SUM(C95:N95)</f>
        <v>0</v>
      </c>
    </row>
    <row r="96" spans="1:19" x14ac:dyDescent="0.2">
      <c r="A96" s="21" t="s">
        <v>603</v>
      </c>
      <c r="B96" s="59" t="s">
        <v>47</v>
      </c>
      <c r="C96" s="77">
        <v>0</v>
      </c>
      <c r="D96" s="77">
        <v>0</v>
      </c>
      <c r="E96" s="77">
        <v>0</v>
      </c>
      <c r="F96" s="77">
        <v>0</v>
      </c>
      <c r="G96" s="77">
        <v>0</v>
      </c>
      <c r="H96" s="77">
        <v>0</v>
      </c>
      <c r="I96" s="77">
        <v>0</v>
      </c>
      <c r="J96" s="77">
        <v>0</v>
      </c>
      <c r="K96" s="77">
        <v>0</v>
      </c>
      <c r="L96" s="77">
        <v>0</v>
      </c>
      <c r="M96" s="77">
        <v>0</v>
      </c>
      <c r="N96" s="77">
        <v>0</v>
      </c>
      <c r="O96" s="430">
        <f>SUM(C96:N96)</f>
        <v>0</v>
      </c>
    </row>
    <row r="97" spans="1:15" x14ac:dyDescent="0.2">
      <c r="A97" s="21" t="s">
        <v>552</v>
      </c>
      <c r="B97" s="59" t="s">
        <v>47</v>
      </c>
      <c r="C97" s="77">
        <v>0</v>
      </c>
      <c r="D97" s="77">
        <v>0</v>
      </c>
      <c r="E97" s="77">
        <v>0</v>
      </c>
      <c r="F97" s="77">
        <v>0</v>
      </c>
      <c r="G97" s="77">
        <v>0</v>
      </c>
      <c r="H97" s="77">
        <v>0</v>
      </c>
      <c r="I97" s="77">
        <v>0</v>
      </c>
      <c r="J97" s="77">
        <v>0</v>
      </c>
      <c r="K97" s="77">
        <v>0</v>
      </c>
      <c r="L97" s="77">
        <v>0</v>
      </c>
      <c r="M97" s="77">
        <v>0</v>
      </c>
      <c r="N97" s="77">
        <v>0</v>
      </c>
      <c r="O97" s="430">
        <f>SUM(C97:N97)</f>
        <v>0</v>
      </c>
    </row>
    <row r="98" spans="1:15" x14ac:dyDescent="0.2">
      <c r="A98" s="21" t="s">
        <v>550</v>
      </c>
      <c r="B98" s="59" t="s">
        <v>47</v>
      </c>
      <c r="C98" s="77">
        <v>0</v>
      </c>
      <c r="D98" s="526"/>
      <c r="E98" s="526"/>
      <c r="F98" s="526"/>
      <c r="G98" s="526"/>
      <c r="H98" s="526"/>
      <c r="I98" s="526"/>
      <c r="J98" s="526"/>
      <c r="K98" s="526"/>
      <c r="L98" s="526"/>
      <c r="M98" s="526"/>
      <c r="N98" s="526"/>
      <c r="O98" s="430">
        <f>SUM(C98:N98)</f>
        <v>0</v>
      </c>
    </row>
    <row r="99" spans="1:15" x14ac:dyDescent="0.2">
      <c r="A99" s="21" t="s">
        <v>551</v>
      </c>
      <c r="B99" s="59" t="s">
        <v>47</v>
      </c>
      <c r="C99" s="77">
        <v>0</v>
      </c>
      <c r="D99" s="526"/>
      <c r="E99" s="526"/>
      <c r="F99" s="526"/>
      <c r="G99" s="526"/>
      <c r="H99" s="526"/>
      <c r="I99" s="526"/>
      <c r="J99" s="526"/>
      <c r="K99" s="526"/>
      <c r="L99" s="526"/>
      <c r="M99" s="526"/>
      <c r="N99" s="526"/>
      <c r="O99" s="430">
        <f>SUM(C99:N99)</f>
        <v>0</v>
      </c>
    </row>
    <row r="100" spans="1:15" x14ac:dyDescent="0.2">
      <c r="A100" s="62" t="s">
        <v>553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427"/>
    </row>
    <row r="101" spans="1:15" x14ac:dyDescent="0.2">
      <c r="A101" s="62" t="s">
        <v>554</v>
      </c>
      <c r="C101" s="442">
        <f>SUM(C95:C100)</f>
        <v>0</v>
      </c>
      <c r="D101" s="442">
        <f t="shared" ref="D101:O101" si="20">SUM(D95:D100)</f>
        <v>0</v>
      </c>
      <c r="E101" s="442">
        <f t="shared" si="20"/>
        <v>0</v>
      </c>
      <c r="F101" s="442">
        <f t="shared" si="20"/>
        <v>0</v>
      </c>
      <c r="G101" s="442">
        <f t="shared" si="20"/>
        <v>0</v>
      </c>
      <c r="H101" s="442">
        <f t="shared" si="20"/>
        <v>0</v>
      </c>
      <c r="I101" s="442">
        <f t="shared" si="20"/>
        <v>0</v>
      </c>
      <c r="J101" s="442">
        <f t="shared" si="20"/>
        <v>0</v>
      </c>
      <c r="K101" s="442">
        <f t="shared" si="20"/>
        <v>0</v>
      </c>
      <c r="L101" s="442">
        <f t="shared" si="20"/>
        <v>0</v>
      </c>
      <c r="M101" s="442">
        <f t="shared" si="20"/>
        <v>0</v>
      </c>
      <c r="N101" s="442">
        <f t="shared" si="20"/>
        <v>0</v>
      </c>
      <c r="O101" s="442">
        <f t="shared" si="20"/>
        <v>0</v>
      </c>
    </row>
    <row r="103" spans="1:15" x14ac:dyDescent="0.2">
      <c r="A103" s="15" t="s">
        <v>555</v>
      </c>
    </row>
    <row r="104" spans="1:15" x14ac:dyDescent="0.2">
      <c r="A104" s="21" t="s">
        <v>602</v>
      </c>
      <c r="B104" s="59" t="s">
        <v>47</v>
      </c>
      <c r="C104" s="77">
        <v>0</v>
      </c>
      <c r="D104" s="77">
        <v>0</v>
      </c>
      <c r="E104" s="77">
        <v>0</v>
      </c>
      <c r="F104" s="77">
        <v>0</v>
      </c>
      <c r="G104" s="77">
        <v>0</v>
      </c>
      <c r="H104" s="77">
        <v>0</v>
      </c>
      <c r="I104" s="77">
        <v>0</v>
      </c>
      <c r="J104" s="77">
        <v>0</v>
      </c>
      <c r="K104" s="77">
        <v>0</v>
      </c>
      <c r="L104" s="77">
        <v>0</v>
      </c>
      <c r="M104" s="77">
        <v>0</v>
      </c>
      <c r="N104" s="77">
        <v>0</v>
      </c>
      <c r="O104" s="430">
        <f>SUM(C104:N104)</f>
        <v>0</v>
      </c>
    </row>
    <row r="105" spans="1:15" x14ac:dyDescent="0.2">
      <c r="A105" s="21" t="s">
        <v>603</v>
      </c>
      <c r="B105" s="59" t="s">
        <v>47</v>
      </c>
      <c r="C105" s="77">
        <v>0</v>
      </c>
      <c r="D105" s="77">
        <v>0</v>
      </c>
      <c r="E105" s="77">
        <v>0</v>
      </c>
      <c r="F105" s="77">
        <v>0</v>
      </c>
      <c r="G105" s="77">
        <v>0</v>
      </c>
      <c r="H105" s="77">
        <v>0</v>
      </c>
      <c r="I105" s="77">
        <v>0</v>
      </c>
      <c r="J105" s="77">
        <v>0</v>
      </c>
      <c r="K105" s="77">
        <v>0</v>
      </c>
      <c r="L105" s="77">
        <v>0</v>
      </c>
      <c r="M105" s="77">
        <v>0</v>
      </c>
      <c r="N105" s="77">
        <v>0</v>
      </c>
      <c r="O105" s="430">
        <f>SUM(C105:N105)</f>
        <v>0</v>
      </c>
    </row>
    <row r="106" spans="1:15" x14ac:dyDescent="0.2">
      <c r="A106" s="21" t="s">
        <v>552</v>
      </c>
      <c r="B106" s="59" t="s">
        <v>47</v>
      </c>
      <c r="C106" s="77">
        <v>0</v>
      </c>
      <c r="D106" s="77">
        <v>0</v>
      </c>
      <c r="E106" s="77">
        <v>0</v>
      </c>
      <c r="F106" s="77">
        <v>0</v>
      </c>
      <c r="G106" s="77">
        <v>0</v>
      </c>
      <c r="H106" s="77">
        <v>0</v>
      </c>
      <c r="I106" s="77">
        <v>0</v>
      </c>
      <c r="J106" s="77">
        <v>0</v>
      </c>
      <c r="K106" s="77">
        <v>0</v>
      </c>
      <c r="L106" s="77">
        <v>0</v>
      </c>
      <c r="M106" s="77">
        <v>0</v>
      </c>
      <c r="N106" s="77">
        <v>0</v>
      </c>
      <c r="O106" s="430">
        <f>SUM(C106:N106)</f>
        <v>0</v>
      </c>
    </row>
    <row r="107" spans="1:15" x14ac:dyDescent="0.2">
      <c r="A107" s="21" t="s">
        <v>550</v>
      </c>
      <c r="B107" s="59" t="s">
        <v>47</v>
      </c>
      <c r="C107" s="77">
        <v>0</v>
      </c>
      <c r="D107" s="526"/>
      <c r="E107" s="526"/>
      <c r="F107" s="526"/>
      <c r="G107" s="526"/>
      <c r="H107" s="526"/>
      <c r="I107" s="526"/>
      <c r="J107" s="526"/>
      <c r="K107" s="526"/>
      <c r="L107" s="526"/>
      <c r="M107" s="526"/>
      <c r="N107" s="526"/>
      <c r="O107" s="430">
        <f>SUM(C107:N107)</f>
        <v>0</v>
      </c>
    </row>
    <row r="108" spans="1:15" x14ac:dyDescent="0.2">
      <c r="A108" s="21" t="s">
        <v>551</v>
      </c>
      <c r="B108" s="59" t="s">
        <v>47</v>
      </c>
      <c r="C108" s="77">
        <v>0</v>
      </c>
      <c r="D108" s="526"/>
      <c r="E108" s="526"/>
      <c r="F108" s="526"/>
      <c r="G108" s="526"/>
      <c r="H108" s="526"/>
      <c r="I108" s="526"/>
      <c r="J108" s="526"/>
      <c r="K108" s="526"/>
      <c r="L108" s="526"/>
      <c r="M108" s="526"/>
      <c r="N108" s="526"/>
      <c r="O108" s="430">
        <f>SUM(C108:N108)</f>
        <v>0</v>
      </c>
    </row>
    <row r="109" spans="1:15" x14ac:dyDescent="0.2">
      <c r="A109" s="62" t="s">
        <v>553</v>
      </c>
      <c r="O109" s="427"/>
    </row>
    <row r="110" spans="1:15" x14ac:dyDescent="0.2">
      <c r="A110" s="62" t="s">
        <v>556</v>
      </c>
      <c r="C110" s="442">
        <f>SUM(C104:C109)</f>
        <v>0</v>
      </c>
      <c r="D110" s="442">
        <f t="shared" ref="D110:O110" si="21">SUM(D104:D109)</f>
        <v>0</v>
      </c>
      <c r="E110" s="442">
        <f t="shared" si="21"/>
        <v>0</v>
      </c>
      <c r="F110" s="442">
        <f t="shared" si="21"/>
        <v>0</v>
      </c>
      <c r="G110" s="442">
        <f t="shared" si="21"/>
        <v>0</v>
      </c>
      <c r="H110" s="442">
        <f t="shared" si="21"/>
        <v>0</v>
      </c>
      <c r="I110" s="442">
        <f t="shared" si="21"/>
        <v>0</v>
      </c>
      <c r="J110" s="442">
        <f t="shared" si="21"/>
        <v>0</v>
      </c>
      <c r="K110" s="442">
        <f t="shared" si="21"/>
        <v>0</v>
      </c>
      <c r="L110" s="442">
        <f t="shared" si="21"/>
        <v>0</v>
      </c>
      <c r="M110" s="442">
        <f t="shared" si="21"/>
        <v>0</v>
      </c>
      <c r="N110" s="442">
        <f t="shared" si="21"/>
        <v>0</v>
      </c>
      <c r="O110" s="442">
        <f t="shared" si="21"/>
        <v>0</v>
      </c>
    </row>
    <row r="111" spans="1:15" x14ac:dyDescent="0.2">
      <c r="O111" s="427"/>
    </row>
    <row r="112" spans="1:15" x14ac:dyDescent="0.2">
      <c r="A112" s="15" t="s">
        <v>557</v>
      </c>
      <c r="O112" s="427"/>
    </row>
    <row r="113" spans="1:15" x14ac:dyDescent="0.2">
      <c r="A113" s="21" t="s">
        <v>602</v>
      </c>
      <c r="B113" s="59" t="s">
        <v>47</v>
      </c>
      <c r="C113" s="77">
        <v>0</v>
      </c>
      <c r="D113" s="77">
        <v>0</v>
      </c>
      <c r="E113" s="77">
        <v>0</v>
      </c>
      <c r="F113" s="77">
        <v>0</v>
      </c>
      <c r="G113" s="77">
        <v>0</v>
      </c>
      <c r="H113" s="77">
        <v>0</v>
      </c>
      <c r="I113" s="77">
        <v>0</v>
      </c>
      <c r="J113" s="77">
        <v>0</v>
      </c>
      <c r="K113" s="77">
        <v>0</v>
      </c>
      <c r="L113" s="77">
        <v>0</v>
      </c>
      <c r="M113" s="77">
        <v>0</v>
      </c>
      <c r="N113" s="77">
        <v>0</v>
      </c>
      <c r="O113" s="430">
        <f>SUM(C113:N113)</f>
        <v>0</v>
      </c>
    </row>
    <row r="114" spans="1:15" x14ac:dyDescent="0.2">
      <c r="A114" s="21" t="s">
        <v>603</v>
      </c>
      <c r="B114" s="59" t="s">
        <v>47</v>
      </c>
      <c r="C114" s="77">
        <v>0</v>
      </c>
      <c r="D114" s="77">
        <v>0</v>
      </c>
      <c r="E114" s="77">
        <v>0</v>
      </c>
      <c r="F114" s="77">
        <v>0</v>
      </c>
      <c r="G114" s="77">
        <v>0</v>
      </c>
      <c r="H114" s="77">
        <v>0</v>
      </c>
      <c r="I114" s="77">
        <v>0</v>
      </c>
      <c r="J114" s="77">
        <v>0</v>
      </c>
      <c r="K114" s="77">
        <v>0</v>
      </c>
      <c r="L114" s="77">
        <v>0</v>
      </c>
      <c r="M114" s="77">
        <v>0</v>
      </c>
      <c r="N114" s="77">
        <v>0</v>
      </c>
      <c r="O114" s="430">
        <f>SUM(C114:N114)</f>
        <v>0</v>
      </c>
    </row>
    <row r="115" spans="1:15" x14ac:dyDescent="0.2">
      <c r="A115" s="21" t="s">
        <v>552</v>
      </c>
      <c r="B115" s="59" t="s">
        <v>47</v>
      </c>
      <c r="C115" s="77">
        <v>0</v>
      </c>
      <c r="D115" s="77">
        <v>0</v>
      </c>
      <c r="E115" s="77">
        <v>0</v>
      </c>
      <c r="F115" s="77">
        <v>0</v>
      </c>
      <c r="G115" s="77">
        <v>0</v>
      </c>
      <c r="H115" s="77">
        <v>0</v>
      </c>
      <c r="I115" s="77">
        <v>0</v>
      </c>
      <c r="J115" s="77">
        <v>0</v>
      </c>
      <c r="K115" s="77">
        <v>0</v>
      </c>
      <c r="L115" s="77">
        <v>0</v>
      </c>
      <c r="M115" s="77">
        <v>0</v>
      </c>
      <c r="N115" s="77">
        <v>0</v>
      </c>
      <c r="O115" s="430">
        <f>SUM(C115:N115)</f>
        <v>0</v>
      </c>
    </row>
    <row r="116" spans="1:15" x14ac:dyDescent="0.2">
      <c r="A116" s="21" t="s">
        <v>550</v>
      </c>
      <c r="B116" s="59" t="s">
        <v>47</v>
      </c>
      <c r="C116" s="77">
        <v>0</v>
      </c>
      <c r="D116" s="526"/>
      <c r="E116" s="526"/>
      <c r="F116" s="526"/>
      <c r="G116" s="526"/>
      <c r="H116" s="526"/>
      <c r="I116" s="526"/>
      <c r="J116" s="526"/>
      <c r="K116" s="526"/>
      <c r="L116" s="526"/>
      <c r="M116" s="526"/>
      <c r="N116" s="526"/>
      <c r="O116" s="430">
        <f>SUM(C116:N116)</f>
        <v>0</v>
      </c>
    </row>
    <row r="117" spans="1:15" x14ac:dyDescent="0.2">
      <c r="A117" s="21" t="s">
        <v>551</v>
      </c>
      <c r="B117" s="59" t="s">
        <v>47</v>
      </c>
      <c r="C117" s="77">
        <v>0</v>
      </c>
      <c r="D117" s="526"/>
      <c r="E117" s="526"/>
      <c r="F117" s="526"/>
      <c r="G117" s="526"/>
      <c r="H117" s="526"/>
      <c r="I117" s="526"/>
      <c r="J117" s="526"/>
      <c r="K117" s="526"/>
      <c r="L117" s="526"/>
      <c r="M117" s="526"/>
      <c r="N117" s="526"/>
      <c r="O117" s="430">
        <f>SUM(C117:N117)</f>
        <v>0</v>
      </c>
    </row>
    <row r="118" spans="1:15" x14ac:dyDescent="0.2">
      <c r="A118" s="62" t="s">
        <v>553</v>
      </c>
      <c r="O118" s="427"/>
    </row>
    <row r="119" spans="1:15" x14ac:dyDescent="0.2">
      <c r="A119" s="62" t="s">
        <v>558</v>
      </c>
      <c r="C119" s="442">
        <f>SUM(C113:C118)</f>
        <v>0</v>
      </c>
      <c r="D119" s="442">
        <f t="shared" ref="D119:O119" si="22">SUM(D113:D118)</f>
        <v>0</v>
      </c>
      <c r="E119" s="442">
        <f t="shared" si="22"/>
        <v>0</v>
      </c>
      <c r="F119" s="442">
        <f t="shared" si="22"/>
        <v>0</v>
      </c>
      <c r="G119" s="442">
        <f t="shared" si="22"/>
        <v>0</v>
      </c>
      <c r="H119" s="442">
        <f t="shared" si="22"/>
        <v>0</v>
      </c>
      <c r="I119" s="442">
        <f t="shared" si="22"/>
        <v>0</v>
      </c>
      <c r="J119" s="442">
        <f t="shared" si="22"/>
        <v>0</v>
      </c>
      <c r="K119" s="442">
        <f t="shared" si="22"/>
        <v>0</v>
      </c>
      <c r="L119" s="442">
        <f t="shared" si="22"/>
        <v>0</v>
      </c>
      <c r="M119" s="442">
        <f t="shared" si="22"/>
        <v>0</v>
      </c>
      <c r="N119" s="442">
        <f t="shared" si="22"/>
        <v>0</v>
      </c>
      <c r="O119" s="442">
        <f t="shared" si="22"/>
        <v>0</v>
      </c>
    </row>
    <row r="120" spans="1:15" x14ac:dyDescent="0.2">
      <c r="O120" s="427"/>
    </row>
    <row r="121" spans="1:15" x14ac:dyDescent="0.2">
      <c r="A121" s="436" t="s">
        <v>560</v>
      </c>
      <c r="O121" s="427"/>
    </row>
    <row r="122" spans="1:15" x14ac:dyDescent="0.2">
      <c r="A122" s="21" t="s">
        <v>602</v>
      </c>
      <c r="B122" s="59" t="s">
        <v>47</v>
      </c>
      <c r="C122" s="77">
        <v>0</v>
      </c>
      <c r="D122" s="77">
        <v>0</v>
      </c>
      <c r="E122" s="77">
        <v>0</v>
      </c>
      <c r="F122" s="77">
        <v>0</v>
      </c>
      <c r="G122" s="77">
        <v>0</v>
      </c>
      <c r="H122" s="77">
        <v>0</v>
      </c>
      <c r="I122" s="77">
        <v>0</v>
      </c>
      <c r="J122" s="77">
        <v>0</v>
      </c>
      <c r="K122" s="77">
        <v>0</v>
      </c>
      <c r="L122" s="77">
        <v>0</v>
      </c>
      <c r="M122" s="77">
        <v>0</v>
      </c>
      <c r="N122" s="77">
        <v>0</v>
      </c>
      <c r="O122" s="430">
        <f>SUM(C122:N122)</f>
        <v>0</v>
      </c>
    </row>
    <row r="123" spans="1:15" x14ac:dyDescent="0.2">
      <c r="A123" s="21" t="s">
        <v>603</v>
      </c>
      <c r="B123" s="59" t="s">
        <v>47</v>
      </c>
      <c r="C123" s="77">
        <v>0</v>
      </c>
      <c r="D123" s="77">
        <v>0</v>
      </c>
      <c r="E123" s="77">
        <v>0</v>
      </c>
      <c r="F123" s="77">
        <v>0</v>
      </c>
      <c r="G123" s="77">
        <v>0</v>
      </c>
      <c r="H123" s="77">
        <v>0</v>
      </c>
      <c r="I123" s="77">
        <v>0</v>
      </c>
      <c r="J123" s="77">
        <v>0</v>
      </c>
      <c r="K123" s="77">
        <v>0</v>
      </c>
      <c r="L123" s="77">
        <v>0</v>
      </c>
      <c r="M123" s="77">
        <v>0</v>
      </c>
      <c r="N123" s="77">
        <v>0</v>
      </c>
      <c r="O123" s="430">
        <f>SUM(C123:N123)</f>
        <v>0</v>
      </c>
    </row>
    <row r="124" spans="1:15" x14ac:dyDescent="0.2">
      <c r="A124" s="21" t="s">
        <v>552</v>
      </c>
      <c r="B124" s="59" t="s">
        <v>47</v>
      </c>
      <c r="C124" s="77">
        <v>0</v>
      </c>
      <c r="D124" s="77">
        <v>0</v>
      </c>
      <c r="E124" s="77">
        <v>0</v>
      </c>
      <c r="F124" s="77">
        <v>0</v>
      </c>
      <c r="G124" s="77">
        <v>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430">
        <f>SUM(C124:N124)</f>
        <v>0</v>
      </c>
    </row>
    <row r="125" spans="1:15" x14ac:dyDescent="0.2">
      <c r="A125" s="21" t="s">
        <v>550</v>
      </c>
      <c r="B125" s="59" t="s">
        <v>47</v>
      </c>
      <c r="C125" s="77">
        <v>0</v>
      </c>
      <c r="D125" s="526"/>
      <c r="E125" s="526"/>
      <c r="F125" s="526"/>
      <c r="G125" s="526"/>
      <c r="H125" s="526"/>
      <c r="I125" s="526"/>
      <c r="J125" s="526"/>
      <c r="K125" s="526"/>
      <c r="L125" s="526"/>
      <c r="M125" s="526"/>
      <c r="N125" s="526"/>
      <c r="O125" s="430">
        <f>SUM(C125:N125)</f>
        <v>0</v>
      </c>
    </row>
    <row r="126" spans="1:15" x14ac:dyDescent="0.2">
      <c r="A126" s="21" t="s">
        <v>551</v>
      </c>
      <c r="B126" s="59" t="s">
        <v>47</v>
      </c>
      <c r="C126" s="77">
        <v>0</v>
      </c>
      <c r="D126" s="526"/>
      <c r="E126" s="526"/>
      <c r="F126" s="526"/>
      <c r="G126" s="526"/>
      <c r="H126" s="526"/>
      <c r="I126" s="526"/>
      <c r="J126" s="526"/>
      <c r="K126" s="526"/>
      <c r="L126" s="526"/>
      <c r="M126" s="526"/>
      <c r="N126" s="526"/>
      <c r="O126" s="430">
        <f>SUM(C126:N126)</f>
        <v>0</v>
      </c>
    </row>
    <row r="127" spans="1:15" x14ac:dyDescent="0.2">
      <c r="A127" s="62" t="s">
        <v>553</v>
      </c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427"/>
    </row>
    <row r="128" spans="1:15" x14ac:dyDescent="0.2">
      <c r="A128" s="62" t="s">
        <v>561</v>
      </c>
      <c r="C128" s="442">
        <f>SUM(C122:C127)</f>
        <v>0</v>
      </c>
      <c r="D128" s="442">
        <f t="shared" ref="D128:O128" si="23">SUM(D122:D127)</f>
        <v>0</v>
      </c>
      <c r="E128" s="442">
        <f t="shared" si="23"/>
        <v>0</v>
      </c>
      <c r="F128" s="442">
        <f t="shared" si="23"/>
        <v>0</v>
      </c>
      <c r="G128" s="442">
        <f t="shared" si="23"/>
        <v>0</v>
      </c>
      <c r="H128" s="442">
        <f t="shared" si="23"/>
        <v>0</v>
      </c>
      <c r="I128" s="442">
        <f t="shared" si="23"/>
        <v>0</v>
      </c>
      <c r="J128" s="442">
        <f t="shared" si="23"/>
        <v>0</v>
      </c>
      <c r="K128" s="442">
        <f t="shared" si="23"/>
        <v>0</v>
      </c>
      <c r="L128" s="442">
        <f t="shared" si="23"/>
        <v>0</v>
      </c>
      <c r="M128" s="442">
        <f t="shared" si="23"/>
        <v>0</v>
      </c>
      <c r="N128" s="442">
        <f t="shared" si="23"/>
        <v>0</v>
      </c>
      <c r="O128" s="442">
        <f t="shared" si="23"/>
        <v>0</v>
      </c>
    </row>
    <row r="129" spans="1:15" x14ac:dyDescent="0.2">
      <c r="O129" s="427"/>
    </row>
    <row r="130" spans="1:15" x14ac:dyDescent="0.2">
      <c r="A130" s="437" t="s">
        <v>559</v>
      </c>
      <c r="O130" s="427"/>
    </row>
    <row r="131" spans="1:15" x14ac:dyDescent="0.2">
      <c r="A131" s="21" t="s">
        <v>602</v>
      </c>
      <c r="C131" s="430">
        <f>C95+C104+C113+C122</f>
        <v>0</v>
      </c>
      <c r="D131" s="430">
        <f t="shared" ref="D131:N131" si="24">D95+D104+D113+D122</f>
        <v>0</v>
      </c>
      <c r="E131" s="430">
        <f t="shared" si="24"/>
        <v>0</v>
      </c>
      <c r="F131" s="430">
        <f t="shared" si="24"/>
        <v>0</v>
      </c>
      <c r="G131" s="430">
        <f t="shared" si="24"/>
        <v>0</v>
      </c>
      <c r="H131" s="430">
        <f t="shared" si="24"/>
        <v>0</v>
      </c>
      <c r="I131" s="430">
        <f t="shared" si="24"/>
        <v>0</v>
      </c>
      <c r="J131" s="430">
        <f t="shared" si="24"/>
        <v>0</v>
      </c>
      <c r="K131" s="430">
        <f t="shared" si="24"/>
        <v>0</v>
      </c>
      <c r="L131" s="430">
        <f t="shared" si="24"/>
        <v>0</v>
      </c>
      <c r="M131" s="430">
        <f t="shared" si="24"/>
        <v>0</v>
      </c>
      <c r="N131" s="430">
        <f t="shared" si="24"/>
        <v>0</v>
      </c>
      <c r="O131" s="430">
        <f>SUM(C131:N131)</f>
        <v>0</v>
      </c>
    </row>
    <row r="132" spans="1:15" x14ac:dyDescent="0.2">
      <c r="A132" s="21" t="s">
        <v>603</v>
      </c>
      <c r="C132" s="430">
        <f>C96+C105+C114+C123</f>
        <v>0</v>
      </c>
      <c r="D132" s="430">
        <f t="shared" ref="D132:N132" si="25">D96+D105+D114+D123</f>
        <v>0</v>
      </c>
      <c r="E132" s="430">
        <f t="shared" si="25"/>
        <v>0</v>
      </c>
      <c r="F132" s="430">
        <f t="shared" si="25"/>
        <v>0</v>
      </c>
      <c r="G132" s="430">
        <f t="shared" si="25"/>
        <v>0</v>
      </c>
      <c r="H132" s="430">
        <f t="shared" si="25"/>
        <v>0</v>
      </c>
      <c r="I132" s="430">
        <f t="shared" si="25"/>
        <v>0</v>
      </c>
      <c r="J132" s="430">
        <f t="shared" si="25"/>
        <v>0</v>
      </c>
      <c r="K132" s="430">
        <f t="shared" si="25"/>
        <v>0</v>
      </c>
      <c r="L132" s="430">
        <f t="shared" si="25"/>
        <v>0</v>
      </c>
      <c r="M132" s="430">
        <f t="shared" si="25"/>
        <v>0</v>
      </c>
      <c r="N132" s="430">
        <f t="shared" si="25"/>
        <v>0</v>
      </c>
      <c r="O132" s="430">
        <f>SUM(C132:N132)</f>
        <v>0</v>
      </c>
    </row>
    <row r="133" spans="1:15" x14ac:dyDescent="0.2">
      <c r="A133" s="21" t="s">
        <v>552</v>
      </c>
      <c r="C133" s="430">
        <f>C97+C106+C115+C124</f>
        <v>0</v>
      </c>
      <c r="D133" s="430">
        <f t="shared" ref="D133:N133" si="26">D97+D106+D115+D124</f>
        <v>0</v>
      </c>
      <c r="E133" s="430">
        <f t="shared" si="26"/>
        <v>0</v>
      </c>
      <c r="F133" s="430">
        <f t="shared" si="26"/>
        <v>0</v>
      </c>
      <c r="G133" s="430">
        <f t="shared" si="26"/>
        <v>0</v>
      </c>
      <c r="H133" s="430">
        <f t="shared" si="26"/>
        <v>0</v>
      </c>
      <c r="I133" s="430">
        <f t="shared" si="26"/>
        <v>0</v>
      </c>
      <c r="J133" s="430">
        <f t="shared" si="26"/>
        <v>0</v>
      </c>
      <c r="K133" s="430">
        <f t="shared" si="26"/>
        <v>0</v>
      </c>
      <c r="L133" s="430">
        <f t="shared" si="26"/>
        <v>0</v>
      </c>
      <c r="M133" s="430">
        <f t="shared" si="26"/>
        <v>0</v>
      </c>
      <c r="N133" s="430">
        <f t="shared" si="26"/>
        <v>0</v>
      </c>
      <c r="O133" s="430">
        <f>SUM(C133:N133)</f>
        <v>0</v>
      </c>
    </row>
    <row r="134" spans="1:15" x14ac:dyDescent="0.2">
      <c r="A134" s="21" t="s">
        <v>550</v>
      </c>
      <c r="C134" s="430">
        <f>C98+C107+C116+C125</f>
        <v>0</v>
      </c>
      <c r="D134" s="527"/>
      <c r="E134" s="527"/>
      <c r="F134" s="527"/>
      <c r="G134" s="527"/>
      <c r="H134" s="527"/>
      <c r="I134" s="527"/>
      <c r="J134" s="527"/>
      <c r="K134" s="527"/>
      <c r="L134" s="527"/>
      <c r="M134" s="527"/>
      <c r="N134" s="527"/>
      <c r="O134" s="430">
        <f>SUM(C134:N134)</f>
        <v>0</v>
      </c>
    </row>
    <row r="135" spans="1:15" x14ac:dyDescent="0.2">
      <c r="A135" s="21" t="s">
        <v>551</v>
      </c>
      <c r="C135" s="430">
        <f>C99+C108+C117+C126</f>
        <v>0</v>
      </c>
      <c r="D135" s="527"/>
      <c r="E135" s="527"/>
      <c r="F135" s="527"/>
      <c r="G135" s="527"/>
      <c r="H135" s="527"/>
      <c r="I135" s="527"/>
      <c r="J135" s="527"/>
      <c r="K135" s="527"/>
      <c r="L135" s="527"/>
      <c r="M135" s="527"/>
      <c r="N135" s="527"/>
      <c r="O135" s="430">
        <f>SUM(C135:N135)</f>
        <v>0</v>
      </c>
    </row>
    <row r="136" spans="1:15" x14ac:dyDescent="0.2">
      <c r="C136" s="427"/>
      <c r="D136" s="427"/>
      <c r="E136" s="427"/>
      <c r="F136" s="427"/>
      <c r="G136" s="427"/>
      <c r="H136" s="427"/>
      <c r="I136" s="427"/>
      <c r="J136" s="427"/>
      <c r="K136" s="427"/>
      <c r="L136" s="427"/>
      <c r="M136" s="427"/>
      <c r="N136" s="427"/>
      <c r="O136" s="427"/>
    </row>
    <row r="137" spans="1:15" x14ac:dyDescent="0.2">
      <c r="A137" s="62" t="s">
        <v>559</v>
      </c>
      <c r="C137" s="492">
        <f>SUM(C131:C136)</f>
        <v>0</v>
      </c>
      <c r="D137" s="492">
        <f t="shared" ref="D137:O137" si="27">SUM(D131:D136)</f>
        <v>0</v>
      </c>
      <c r="E137" s="492">
        <f t="shared" si="27"/>
        <v>0</v>
      </c>
      <c r="F137" s="492">
        <f t="shared" si="27"/>
        <v>0</v>
      </c>
      <c r="G137" s="492">
        <f t="shared" si="27"/>
        <v>0</v>
      </c>
      <c r="H137" s="492">
        <f t="shared" si="27"/>
        <v>0</v>
      </c>
      <c r="I137" s="492">
        <f t="shared" si="27"/>
        <v>0</v>
      </c>
      <c r="J137" s="492">
        <f t="shared" si="27"/>
        <v>0</v>
      </c>
      <c r="K137" s="492">
        <f t="shared" si="27"/>
        <v>0</v>
      </c>
      <c r="L137" s="492">
        <f t="shared" si="27"/>
        <v>0</v>
      </c>
      <c r="M137" s="492">
        <f t="shared" si="27"/>
        <v>0</v>
      </c>
      <c r="N137" s="492">
        <f t="shared" si="27"/>
        <v>0</v>
      </c>
      <c r="O137" s="492">
        <f t="shared" si="27"/>
        <v>0</v>
      </c>
    </row>
    <row r="138" spans="1:15" x14ac:dyDescent="0.2">
      <c r="O138" s="427"/>
    </row>
    <row r="139" spans="1:15" x14ac:dyDescent="0.2">
      <c r="A139" s="62" t="s">
        <v>569</v>
      </c>
      <c r="C139" s="430">
        <f>ROUND(C131*0.16,2)+ROUND(C132*0.11,2)+ROUND(C134*0.15,2)+ROUND(C135*0.1,2)</f>
        <v>0</v>
      </c>
      <c r="D139" s="430">
        <f>ROUND(D131*0.16,2)+ROUND(D132*0.11,2)</f>
        <v>0</v>
      </c>
      <c r="E139" s="430">
        <f t="shared" ref="E139:N139" si="28">ROUND(E131*0.16,2)+ROUND(E132*0.11,2)</f>
        <v>0</v>
      </c>
      <c r="F139" s="430">
        <f t="shared" si="28"/>
        <v>0</v>
      </c>
      <c r="G139" s="430">
        <f t="shared" si="28"/>
        <v>0</v>
      </c>
      <c r="H139" s="430">
        <f t="shared" si="28"/>
        <v>0</v>
      </c>
      <c r="I139" s="430">
        <f t="shared" si="28"/>
        <v>0</v>
      </c>
      <c r="J139" s="430">
        <f t="shared" si="28"/>
        <v>0</v>
      </c>
      <c r="K139" s="430">
        <f t="shared" si="28"/>
        <v>0</v>
      </c>
      <c r="L139" s="430">
        <f t="shared" si="28"/>
        <v>0</v>
      </c>
      <c r="M139" s="430">
        <f t="shared" si="28"/>
        <v>0</v>
      </c>
      <c r="N139" s="430">
        <f t="shared" si="28"/>
        <v>0</v>
      </c>
      <c r="O139" s="430">
        <f>SUM(C139:N139)</f>
        <v>0</v>
      </c>
    </row>
    <row r="140" spans="1:15" x14ac:dyDescent="0.2">
      <c r="O140" s="427"/>
    </row>
    <row r="141" spans="1:15" x14ac:dyDescent="0.2">
      <c r="O141" s="427"/>
    </row>
    <row r="142" spans="1:15" x14ac:dyDescent="0.2">
      <c r="A142" s="15" t="s">
        <v>198</v>
      </c>
      <c r="O142" s="427"/>
    </row>
    <row r="143" spans="1:15" x14ac:dyDescent="0.2">
      <c r="O143" s="427"/>
    </row>
    <row r="144" spans="1:15" x14ac:dyDescent="0.2">
      <c r="A144" s="1" t="s">
        <v>562</v>
      </c>
      <c r="B144" s="59" t="s">
        <v>47</v>
      </c>
      <c r="C144" s="77">
        <v>0</v>
      </c>
      <c r="D144" s="77">
        <v>0</v>
      </c>
      <c r="E144" s="77">
        <v>0</v>
      </c>
      <c r="F144" s="77">
        <v>0</v>
      </c>
      <c r="G144" s="77">
        <v>0</v>
      </c>
      <c r="H144" s="77">
        <v>0</v>
      </c>
      <c r="I144" s="77">
        <v>0</v>
      </c>
      <c r="J144" s="77">
        <v>0</v>
      </c>
      <c r="K144" s="77">
        <v>0</v>
      </c>
      <c r="L144" s="77">
        <v>0</v>
      </c>
      <c r="M144" s="77">
        <v>0</v>
      </c>
      <c r="N144" s="77">
        <v>0</v>
      </c>
      <c r="O144" s="430">
        <f>SUM(C144:N144)</f>
        <v>0</v>
      </c>
    </row>
    <row r="145" spans="1:15" x14ac:dyDescent="0.2">
      <c r="A145" s="1" t="s">
        <v>563</v>
      </c>
      <c r="B145" s="59" t="s">
        <v>47</v>
      </c>
      <c r="C145" s="77">
        <v>0</v>
      </c>
      <c r="D145" s="77">
        <v>0</v>
      </c>
      <c r="E145" s="77">
        <v>0</v>
      </c>
      <c r="F145" s="77">
        <v>0</v>
      </c>
      <c r="G145" s="77">
        <v>0</v>
      </c>
      <c r="H145" s="77">
        <v>0</v>
      </c>
      <c r="I145" s="77">
        <v>0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430">
        <f>SUM(C145:N145)</f>
        <v>0</v>
      </c>
    </row>
    <row r="146" spans="1:15" x14ac:dyDescent="0.2">
      <c r="A146" s="1" t="s">
        <v>564</v>
      </c>
      <c r="B146" s="59" t="s">
        <v>47</v>
      </c>
      <c r="C146" s="77">
        <v>0</v>
      </c>
      <c r="D146" s="77">
        <v>0</v>
      </c>
      <c r="E146" s="77">
        <v>0</v>
      </c>
      <c r="F146" s="77">
        <v>0</v>
      </c>
      <c r="G146" s="77">
        <v>0</v>
      </c>
      <c r="H146" s="77">
        <v>0</v>
      </c>
      <c r="I146" s="77">
        <v>0</v>
      </c>
      <c r="J146" s="77">
        <v>0</v>
      </c>
      <c r="K146" s="77">
        <v>0</v>
      </c>
      <c r="L146" s="77">
        <v>0</v>
      </c>
      <c r="M146" s="77">
        <v>0</v>
      </c>
      <c r="N146" s="77">
        <v>0</v>
      </c>
      <c r="O146" s="430">
        <f>SUM(C146:N146)</f>
        <v>0</v>
      </c>
    </row>
    <row r="147" spans="1:15" x14ac:dyDescent="0.2">
      <c r="A147" s="1" t="s">
        <v>136</v>
      </c>
      <c r="B147" s="59" t="s">
        <v>47</v>
      </c>
      <c r="C147" s="77">
        <v>0</v>
      </c>
      <c r="D147" s="77">
        <v>0</v>
      </c>
      <c r="E147" s="77">
        <v>0</v>
      </c>
      <c r="F147" s="77">
        <v>0</v>
      </c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430">
        <f>SUM(C147:N147)</f>
        <v>0</v>
      </c>
    </row>
    <row r="148" spans="1:15" x14ac:dyDescent="0.2">
      <c r="A148" s="1" t="s">
        <v>136</v>
      </c>
      <c r="B148" s="59" t="s">
        <v>47</v>
      </c>
      <c r="C148" s="77">
        <v>0</v>
      </c>
      <c r="D148" s="77">
        <v>0</v>
      </c>
      <c r="E148" s="77">
        <v>0</v>
      </c>
      <c r="F148" s="77">
        <v>0</v>
      </c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430">
        <f>SUM(C148:N148)</f>
        <v>0</v>
      </c>
    </row>
    <row r="149" spans="1:15" x14ac:dyDescent="0.2">
      <c r="O149" s="427"/>
    </row>
    <row r="150" spans="1:15" x14ac:dyDescent="0.2">
      <c r="A150" s="62" t="s">
        <v>565</v>
      </c>
      <c r="C150" s="492">
        <f>SUM(C144:C149)</f>
        <v>0</v>
      </c>
      <c r="D150" s="492">
        <f t="shared" ref="D150:N150" si="29">SUM(D144:D149)</f>
        <v>0</v>
      </c>
      <c r="E150" s="492">
        <f t="shared" si="29"/>
        <v>0</v>
      </c>
      <c r="F150" s="492">
        <f t="shared" si="29"/>
        <v>0</v>
      </c>
      <c r="G150" s="492">
        <f t="shared" si="29"/>
        <v>0</v>
      </c>
      <c r="H150" s="492">
        <f t="shared" si="29"/>
        <v>0</v>
      </c>
      <c r="I150" s="492">
        <f t="shared" si="29"/>
        <v>0</v>
      </c>
      <c r="J150" s="492">
        <f t="shared" si="29"/>
        <v>0</v>
      </c>
      <c r="K150" s="492">
        <f t="shared" si="29"/>
        <v>0</v>
      </c>
      <c r="L150" s="492">
        <f t="shared" si="29"/>
        <v>0</v>
      </c>
      <c r="M150" s="492">
        <f t="shared" si="29"/>
        <v>0</v>
      </c>
      <c r="N150" s="492">
        <f t="shared" si="29"/>
        <v>0</v>
      </c>
      <c r="O150" s="492">
        <f>SUM(C150:N150)</f>
        <v>0</v>
      </c>
    </row>
    <row r="151" spans="1:15" x14ac:dyDescent="0.2">
      <c r="O151" s="427"/>
    </row>
    <row r="152" spans="1:15" x14ac:dyDescent="0.2">
      <c r="A152" s="62" t="s">
        <v>570</v>
      </c>
      <c r="C152" s="430">
        <f>IF(C139&gt;C150,C139-C150,0)</f>
        <v>0</v>
      </c>
      <c r="D152" s="430">
        <f t="shared" ref="D152:N152" si="30">IF(D139&gt;D150,D139-D150,0)</f>
        <v>0</v>
      </c>
      <c r="E152" s="430">
        <f t="shared" si="30"/>
        <v>0</v>
      </c>
      <c r="F152" s="430">
        <f t="shared" si="30"/>
        <v>0</v>
      </c>
      <c r="G152" s="430">
        <f t="shared" si="30"/>
        <v>0</v>
      </c>
      <c r="H152" s="430">
        <f t="shared" si="30"/>
        <v>0</v>
      </c>
      <c r="I152" s="430">
        <f t="shared" si="30"/>
        <v>0</v>
      </c>
      <c r="J152" s="430">
        <f t="shared" si="30"/>
        <v>0</v>
      </c>
      <c r="K152" s="430">
        <f t="shared" si="30"/>
        <v>0</v>
      </c>
      <c r="L152" s="430">
        <f t="shared" si="30"/>
        <v>0</v>
      </c>
      <c r="M152" s="430">
        <f t="shared" si="30"/>
        <v>0</v>
      </c>
      <c r="N152" s="430">
        <f t="shared" si="30"/>
        <v>0</v>
      </c>
      <c r="O152" s="430">
        <f>SUM(C152:N152)</f>
        <v>0</v>
      </c>
    </row>
    <row r="153" spans="1:15" x14ac:dyDescent="0.2">
      <c r="O153" s="427"/>
    </row>
    <row r="154" spans="1:15" x14ac:dyDescent="0.2">
      <c r="A154" s="15" t="s">
        <v>566</v>
      </c>
      <c r="O154" s="427"/>
    </row>
    <row r="155" spans="1:15" x14ac:dyDescent="0.2">
      <c r="O155" s="427"/>
    </row>
    <row r="156" spans="1:15" x14ac:dyDescent="0.2">
      <c r="A156" s="1" t="s">
        <v>562</v>
      </c>
      <c r="B156" s="59" t="s">
        <v>47</v>
      </c>
      <c r="C156" s="77">
        <v>0</v>
      </c>
      <c r="D156" s="77">
        <v>0</v>
      </c>
      <c r="E156" s="77">
        <v>0</v>
      </c>
      <c r="F156" s="77">
        <v>0</v>
      </c>
      <c r="G156" s="77">
        <v>0</v>
      </c>
      <c r="H156" s="77">
        <v>0</v>
      </c>
      <c r="I156" s="77">
        <v>0</v>
      </c>
      <c r="J156" s="77">
        <v>0</v>
      </c>
      <c r="K156" s="77">
        <v>0</v>
      </c>
      <c r="L156" s="77">
        <v>0</v>
      </c>
      <c r="M156" s="77">
        <v>0</v>
      </c>
      <c r="N156" s="77">
        <v>0</v>
      </c>
      <c r="O156" s="430">
        <f>SUM(C156:N156)</f>
        <v>0</v>
      </c>
    </row>
    <row r="157" spans="1:15" x14ac:dyDescent="0.2">
      <c r="A157" s="1" t="s">
        <v>563</v>
      </c>
      <c r="B157" s="59" t="s">
        <v>47</v>
      </c>
      <c r="C157" s="77">
        <v>0</v>
      </c>
      <c r="D157" s="77">
        <v>0</v>
      </c>
      <c r="E157" s="77">
        <v>0</v>
      </c>
      <c r="F157" s="77">
        <v>0</v>
      </c>
      <c r="G157" s="77">
        <v>0</v>
      </c>
      <c r="H157" s="77">
        <v>0</v>
      </c>
      <c r="I157" s="77">
        <v>0</v>
      </c>
      <c r="J157" s="77">
        <v>0</v>
      </c>
      <c r="K157" s="77">
        <v>0</v>
      </c>
      <c r="L157" s="77">
        <v>0</v>
      </c>
      <c r="M157" s="77">
        <v>0</v>
      </c>
      <c r="N157" s="77">
        <v>0</v>
      </c>
      <c r="O157" s="430">
        <f>SUM(C157:N157)</f>
        <v>0</v>
      </c>
    </row>
    <row r="158" spans="1:15" x14ac:dyDescent="0.2">
      <c r="A158" s="1" t="s">
        <v>564</v>
      </c>
      <c r="B158" s="59" t="s">
        <v>47</v>
      </c>
      <c r="C158" s="77">
        <v>0</v>
      </c>
      <c r="D158" s="77">
        <v>0</v>
      </c>
      <c r="E158" s="77">
        <v>0</v>
      </c>
      <c r="F158" s="77">
        <v>0</v>
      </c>
      <c r="G158" s="77">
        <v>0</v>
      </c>
      <c r="H158" s="77">
        <v>0</v>
      </c>
      <c r="I158" s="77">
        <v>0</v>
      </c>
      <c r="J158" s="77">
        <v>0</v>
      </c>
      <c r="K158" s="77">
        <v>0</v>
      </c>
      <c r="L158" s="77">
        <v>0</v>
      </c>
      <c r="M158" s="77">
        <v>0</v>
      </c>
      <c r="N158" s="77">
        <v>0</v>
      </c>
      <c r="O158" s="430">
        <f>SUM(C158:N158)</f>
        <v>0</v>
      </c>
    </row>
    <row r="159" spans="1:15" x14ac:dyDescent="0.2">
      <c r="A159" s="1" t="s">
        <v>136</v>
      </c>
      <c r="B159" s="59" t="s">
        <v>47</v>
      </c>
      <c r="C159" s="77">
        <v>0</v>
      </c>
      <c r="D159" s="77">
        <v>0</v>
      </c>
      <c r="E159" s="77">
        <v>0</v>
      </c>
      <c r="F159" s="77">
        <v>0</v>
      </c>
      <c r="G159" s="77">
        <v>0</v>
      </c>
      <c r="H159" s="77">
        <v>0</v>
      </c>
      <c r="I159" s="77">
        <v>0</v>
      </c>
      <c r="J159" s="77">
        <v>0</v>
      </c>
      <c r="K159" s="77">
        <v>0</v>
      </c>
      <c r="L159" s="77">
        <v>0</v>
      </c>
      <c r="M159" s="77">
        <v>0</v>
      </c>
      <c r="N159" s="77">
        <v>0</v>
      </c>
      <c r="O159" s="430">
        <f>SUM(C159:N159)</f>
        <v>0</v>
      </c>
    </row>
    <row r="160" spans="1:15" x14ac:dyDescent="0.2">
      <c r="A160" s="1" t="s">
        <v>136</v>
      </c>
      <c r="B160" s="59" t="s">
        <v>47</v>
      </c>
      <c r="C160" s="77">
        <v>0</v>
      </c>
      <c r="D160" s="77">
        <v>0</v>
      </c>
      <c r="E160" s="77">
        <v>0</v>
      </c>
      <c r="F160" s="77">
        <v>0</v>
      </c>
      <c r="G160" s="77">
        <v>0</v>
      </c>
      <c r="H160" s="77">
        <v>0</v>
      </c>
      <c r="I160" s="77">
        <v>0</v>
      </c>
      <c r="J160" s="77">
        <v>0</v>
      </c>
      <c r="K160" s="77">
        <v>0</v>
      </c>
      <c r="L160" s="77">
        <v>0</v>
      </c>
      <c r="M160" s="77">
        <v>0</v>
      </c>
      <c r="N160" s="77">
        <v>0</v>
      </c>
      <c r="O160" s="430">
        <f>SUM(C160:N160)</f>
        <v>0</v>
      </c>
    </row>
    <row r="161" spans="1:15" x14ac:dyDescent="0.2">
      <c r="O161" s="427"/>
    </row>
    <row r="162" spans="1:15" x14ac:dyDescent="0.2">
      <c r="A162" s="62" t="s">
        <v>567</v>
      </c>
      <c r="C162" s="492">
        <f>SUM(C156:C161)</f>
        <v>0</v>
      </c>
      <c r="D162" s="492">
        <f t="shared" ref="D162:N162" si="31">SUM(D156:D161)</f>
        <v>0</v>
      </c>
      <c r="E162" s="492">
        <f t="shared" si="31"/>
        <v>0</v>
      </c>
      <c r="F162" s="492">
        <f t="shared" si="31"/>
        <v>0</v>
      </c>
      <c r="G162" s="492">
        <f t="shared" si="31"/>
        <v>0</v>
      </c>
      <c r="H162" s="492">
        <f t="shared" si="31"/>
        <v>0</v>
      </c>
      <c r="I162" s="492">
        <f t="shared" si="31"/>
        <v>0</v>
      </c>
      <c r="J162" s="492">
        <f t="shared" si="31"/>
        <v>0</v>
      </c>
      <c r="K162" s="492">
        <f t="shared" si="31"/>
        <v>0</v>
      </c>
      <c r="L162" s="492">
        <f t="shared" si="31"/>
        <v>0</v>
      </c>
      <c r="M162" s="492">
        <f t="shared" si="31"/>
        <v>0</v>
      </c>
      <c r="N162" s="492">
        <f t="shared" si="31"/>
        <v>0</v>
      </c>
      <c r="O162" s="492">
        <f>SUM(C162:N162)</f>
        <v>0</v>
      </c>
    </row>
    <row r="163" spans="1:15" x14ac:dyDescent="0.2">
      <c r="O163" s="427"/>
    </row>
    <row r="164" spans="1:15" x14ac:dyDescent="0.2">
      <c r="A164" s="15" t="s">
        <v>568</v>
      </c>
      <c r="B164" s="59" t="s">
        <v>47</v>
      </c>
      <c r="C164" s="77">
        <v>0</v>
      </c>
      <c r="D164" s="77">
        <v>0</v>
      </c>
      <c r="E164" s="77">
        <v>0</v>
      </c>
      <c r="F164" s="77">
        <v>0</v>
      </c>
      <c r="G164" s="77">
        <v>0</v>
      </c>
      <c r="H164" s="77">
        <v>0</v>
      </c>
      <c r="I164" s="77">
        <v>0</v>
      </c>
      <c r="J164" s="77">
        <v>0</v>
      </c>
      <c r="K164" s="77">
        <v>0</v>
      </c>
      <c r="L164" s="77">
        <v>0</v>
      </c>
      <c r="M164" s="77">
        <v>0</v>
      </c>
      <c r="N164" s="77">
        <v>0</v>
      </c>
      <c r="O164" s="430">
        <f>SUM(C164:N164)</f>
        <v>0</v>
      </c>
    </row>
    <row r="167" spans="1:15" x14ac:dyDescent="0.2">
      <c r="A167" s="62" t="s">
        <v>201</v>
      </c>
      <c r="C167" s="431">
        <f>IF(C152&gt;(C162+C164),C152-C162-C164,0)</f>
        <v>0</v>
      </c>
      <c r="D167" s="431">
        <f t="shared" ref="D167:N167" si="32">IF(D152&gt;(D162+D164),D152-D162-D164,0)</f>
        <v>0</v>
      </c>
      <c r="E167" s="431">
        <f t="shared" si="32"/>
        <v>0</v>
      </c>
      <c r="F167" s="431">
        <f t="shared" si="32"/>
        <v>0</v>
      </c>
      <c r="G167" s="431">
        <f t="shared" si="32"/>
        <v>0</v>
      </c>
      <c r="H167" s="431">
        <f t="shared" si="32"/>
        <v>0</v>
      </c>
      <c r="I167" s="431">
        <f t="shared" si="32"/>
        <v>0</v>
      </c>
      <c r="J167" s="431">
        <f t="shared" si="32"/>
        <v>0</v>
      </c>
      <c r="K167" s="431">
        <f t="shared" si="32"/>
        <v>0</v>
      </c>
      <c r="L167" s="431">
        <f t="shared" si="32"/>
        <v>0</v>
      </c>
      <c r="M167" s="431">
        <f t="shared" si="32"/>
        <v>0</v>
      </c>
      <c r="N167" s="431">
        <f t="shared" si="32"/>
        <v>0</v>
      </c>
      <c r="O167" s="431">
        <f>SUM(C167:N167)</f>
        <v>0</v>
      </c>
    </row>
    <row r="168" spans="1:15" x14ac:dyDescent="0.2">
      <c r="A168" s="62" t="s">
        <v>202</v>
      </c>
      <c r="C168" s="431">
        <f>IF((C162+C164)&gt;C152,C162+C164-C152,0)</f>
        <v>0</v>
      </c>
      <c r="D168" s="431">
        <f t="shared" ref="D168:N168" si="33">IF((D162+D164)&gt;D152,D162+D164-D152,0)</f>
        <v>0</v>
      </c>
      <c r="E168" s="431">
        <f t="shared" si="33"/>
        <v>0</v>
      </c>
      <c r="F168" s="431">
        <f t="shared" si="33"/>
        <v>0</v>
      </c>
      <c r="G168" s="431">
        <f t="shared" si="33"/>
        <v>0</v>
      </c>
      <c r="H168" s="431">
        <f t="shared" si="33"/>
        <v>0</v>
      </c>
      <c r="I168" s="431">
        <f t="shared" si="33"/>
        <v>0</v>
      </c>
      <c r="J168" s="431">
        <f t="shared" si="33"/>
        <v>0</v>
      </c>
      <c r="K168" s="431">
        <f t="shared" si="33"/>
        <v>0</v>
      </c>
      <c r="L168" s="431">
        <f t="shared" si="33"/>
        <v>0</v>
      </c>
      <c r="M168" s="431">
        <f t="shared" si="33"/>
        <v>0</v>
      </c>
      <c r="N168" s="431">
        <f t="shared" si="33"/>
        <v>0</v>
      </c>
      <c r="O168" s="431">
        <f>SUM(C168:N168)</f>
        <v>0</v>
      </c>
    </row>
    <row r="172" spans="1:15" x14ac:dyDescent="0.2">
      <c r="A172" s="482" t="s">
        <v>293</v>
      </c>
    </row>
    <row r="174" spans="1:15" x14ac:dyDescent="0.2">
      <c r="A174" s="15" t="s">
        <v>575</v>
      </c>
      <c r="C174" s="468"/>
    </row>
    <row r="175" spans="1:15" x14ac:dyDescent="0.2">
      <c r="A175" s="62" t="s">
        <v>538</v>
      </c>
      <c r="C175" s="480">
        <f>ROUND(Arr_Acum!C23,0)</f>
        <v>0</v>
      </c>
      <c r="D175" s="480">
        <f>ROUND(Arr_Acum!D23,0)</f>
        <v>0</v>
      </c>
      <c r="E175" s="480">
        <f>ROUND(Arr_Acum!E23,0)</f>
        <v>0</v>
      </c>
      <c r="F175" s="480">
        <f>ROUND(Arr_Acum!F23,0)</f>
        <v>0</v>
      </c>
      <c r="G175" s="480">
        <f>ROUND(Arr_Acum!G23,0)</f>
        <v>0</v>
      </c>
      <c r="H175" s="480">
        <f>ROUND(Arr_Acum!H23,0)</f>
        <v>0</v>
      </c>
      <c r="I175" s="480">
        <f>ROUND(Arr_Acum!I23,0)</f>
        <v>0</v>
      </c>
      <c r="J175" s="480">
        <f>ROUND(Arr_Acum!J23,0)</f>
        <v>0</v>
      </c>
      <c r="K175" s="480">
        <f>ROUND(Arr_Acum!K23,0)</f>
        <v>0</v>
      </c>
      <c r="L175" s="480">
        <f>ROUND(Arr_Acum!L23,0)</f>
        <v>0</v>
      </c>
      <c r="M175" s="480">
        <f>ROUND(Arr_Acum!M23,0)</f>
        <v>0</v>
      </c>
      <c r="N175" s="480">
        <f>ROUND(Arr_Acum!N23,0)</f>
        <v>0</v>
      </c>
    </row>
    <row r="176" spans="1:15" x14ac:dyDescent="0.2">
      <c r="A176" s="62" t="s">
        <v>539</v>
      </c>
      <c r="C176" s="480">
        <f>ROUND(Hono_Acum!C28,0)</f>
        <v>0</v>
      </c>
      <c r="D176" s="480">
        <f>ROUND(Hono_Acum!D28,0)</f>
        <v>0</v>
      </c>
      <c r="E176" s="480">
        <f>ROUND(Hono_Acum!E28,0)</f>
        <v>0</v>
      </c>
      <c r="F176" s="480">
        <f>ROUND(Hono_Acum!F28,0)</f>
        <v>0</v>
      </c>
      <c r="G176" s="480">
        <f>ROUND(Hono_Acum!G28,0)</f>
        <v>0</v>
      </c>
      <c r="H176" s="480">
        <f>ROUND(Hono_Acum!H28,0)</f>
        <v>0</v>
      </c>
      <c r="I176" s="480">
        <f>ROUND(Hono_Acum!I28,0)</f>
        <v>0</v>
      </c>
      <c r="J176" s="480">
        <f>ROUND(Hono_Acum!J28,0)</f>
        <v>0</v>
      </c>
      <c r="K176" s="480">
        <f>ROUND(Hono_Acum!K28,0)</f>
        <v>0</v>
      </c>
      <c r="L176" s="480">
        <f>ROUND(Hono_Acum!L28,0)</f>
        <v>0</v>
      </c>
      <c r="M176" s="480">
        <f>ROUND(Hono_Acum!M28,0)</f>
        <v>0</v>
      </c>
      <c r="N176" s="480">
        <f>ROUND(Hono_Acum!N28,0)</f>
        <v>0</v>
      </c>
    </row>
    <row r="177" spans="1:14" x14ac:dyDescent="0.2">
      <c r="A177" s="461" t="s">
        <v>544</v>
      </c>
      <c r="B177" s="59" t="s">
        <v>47</v>
      </c>
      <c r="C177" s="469">
        <v>0</v>
      </c>
      <c r="D177" s="469">
        <v>0</v>
      </c>
      <c r="E177" s="469">
        <v>0</v>
      </c>
      <c r="F177" s="469">
        <v>0</v>
      </c>
      <c r="G177" s="469">
        <v>0</v>
      </c>
      <c r="H177" s="469">
        <v>0</v>
      </c>
      <c r="I177" s="469">
        <v>0</v>
      </c>
      <c r="J177" s="469">
        <v>0</v>
      </c>
      <c r="K177" s="469">
        <v>0</v>
      </c>
      <c r="L177" s="469">
        <v>0</v>
      </c>
      <c r="M177" s="469">
        <v>0</v>
      </c>
      <c r="N177" s="469">
        <v>0</v>
      </c>
    </row>
    <row r="178" spans="1:14" x14ac:dyDescent="0.2">
      <c r="A178" s="15" t="s">
        <v>576</v>
      </c>
      <c r="C178" s="480">
        <f>ROUND(C83,0)</f>
        <v>0</v>
      </c>
      <c r="D178" s="480">
        <f t="shared" ref="D178:N178" si="34">ROUND(D83,0)</f>
        <v>0</v>
      </c>
      <c r="E178" s="480">
        <f t="shared" si="34"/>
        <v>0</v>
      </c>
      <c r="F178" s="480">
        <f t="shared" si="34"/>
        <v>0</v>
      </c>
      <c r="G178" s="480">
        <f t="shared" si="34"/>
        <v>0</v>
      </c>
      <c r="H178" s="480">
        <f t="shared" si="34"/>
        <v>0</v>
      </c>
      <c r="I178" s="480">
        <f t="shared" si="34"/>
        <v>0</v>
      </c>
      <c r="J178" s="480">
        <f t="shared" si="34"/>
        <v>0</v>
      </c>
      <c r="K178" s="480">
        <f t="shared" si="34"/>
        <v>0</v>
      </c>
      <c r="L178" s="480">
        <f t="shared" si="34"/>
        <v>0</v>
      </c>
      <c r="M178" s="480">
        <f t="shared" si="34"/>
        <v>0</v>
      </c>
      <c r="N178" s="480">
        <f t="shared" si="34"/>
        <v>0</v>
      </c>
    </row>
    <row r="179" spans="1:14" x14ac:dyDescent="0.2">
      <c r="A179" s="15" t="s">
        <v>577</v>
      </c>
      <c r="C179" s="480">
        <f>ROUND(C167,0)</f>
        <v>0</v>
      </c>
      <c r="D179" s="480">
        <f t="shared" ref="D179:N179" si="35">ROUND(D167,0)</f>
        <v>0</v>
      </c>
      <c r="E179" s="480">
        <f t="shared" si="35"/>
        <v>0</v>
      </c>
      <c r="F179" s="480">
        <f t="shared" si="35"/>
        <v>0</v>
      </c>
      <c r="G179" s="480">
        <f t="shared" si="35"/>
        <v>0</v>
      </c>
      <c r="H179" s="480">
        <f t="shared" si="35"/>
        <v>0</v>
      </c>
      <c r="I179" s="480">
        <f t="shared" si="35"/>
        <v>0</v>
      </c>
      <c r="J179" s="480">
        <f t="shared" si="35"/>
        <v>0</v>
      </c>
      <c r="K179" s="480">
        <f t="shared" si="35"/>
        <v>0</v>
      </c>
      <c r="L179" s="480">
        <f t="shared" si="35"/>
        <v>0</v>
      </c>
      <c r="M179" s="480">
        <f t="shared" si="35"/>
        <v>0</v>
      </c>
      <c r="N179" s="480">
        <f t="shared" si="35"/>
        <v>0</v>
      </c>
    </row>
    <row r="180" spans="1:14" x14ac:dyDescent="0.2">
      <c r="C180" s="477"/>
      <c r="D180" s="477"/>
      <c r="E180" s="477"/>
      <c r="F180" s="477"/>
      <c r="G180" s="477"/>
      <c r="H180" s="477"/>
      <c r="I180" s="477"/>
      <c r="J180" s="477"/>
      <c r="K180" s="477"/>
      <c r="L180" s="477"/>
      <c r="M180" s="477"/>
      <c r="N180" s="477"/>
    </row>
    <row r="181" spans="1:14" x14ac:dyDescent="0.2">
      <c r="A181" s="62" t="s">
        <v>578</v>
      </c>
      <c r="C181" s="481">
        <f>SUM(C175:C180)</f>
        <v>0</v>
      </c>
      <c r="D181" s="481">
        <f t="shared" ref="D181:N181" si="36">SUM(D175:D180)</f>
        <v>0</v>
      </c>
      <c r="E181" s="481">
        <f t="shared" si="36"/>
        <v>0</v>
      </c>
      <c r="F181" s="481">
        <f t="shared" si="36"/>
        <v>0</v>
      </c>
      <c r="G181" s="481">
        <f t="shared" si="36"/>
        <v>0</v>
      </c>
      <c r="H181" s="481">
        <f t="shared" si="36"/>
        <v>0</v>
      </c>
      <c r="I181" s="481">
        <f t="shared" si="36"/>
        <v>0</v>
      </c>
      <c r="J181" s="481">
        <f t="shared" si="36"/>
        <v>0</v>
      </c>
      <c r="K181" s="481">
        <f t="shared" si="36"/>
        <v>0</v>
      </c>
      <c r="L181" s="481">
        <f t="shared" si="36"/>
        <v>0</v>
      </c>
      <c r="M181" s="481">
        <f t="shared" si="36"/>
        <v>0</v>
      </c>
      <c r="N181" s="481">
        <f t="shared" si="36"/>
        <v>0</v>
      </c>
    </row>
  </sheetData>
  <sheetProtection sheet="1"/>
  <phoneticPr fontId="46" type="noConversion"/>
  <hyperlinks>
    <hyperlink ref="F1" location="'Menú Principa'!A1" display="'Menú Principa'!A1"/>
  </hyperlinks>
  <pageMargins left="0.70866141732283472" right="0.70866141732283472" top="0.74803149606299213" bottom="0.74803149606299213" header="0.31496062992125984" footer="0.31496062992125984"/>
  <pageSetup paperSize="5" scale="77" fitToHeight="4" orientation="landscape" r:id="rId1"/>
  <ignoredErrors>
    <ignoredError sqref="E79" formula="1"/>
    <ignoredError sqref="C66:N66" unlockedFormula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N90"/>
  <sheetViews>
    <sheetView showGridLines="0" showRowColHeader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" sqref="C1"/>
    </sheetView>
  </sheetViews>
  <sheetFormatPr baseColWidth="10" defaultRowHeight="12.75" x14ac:dyDescent="0.2"/>
  <cols>
    <col min="1" max="1" width="11.28515625" style="85" customWidth="1"/>
    <col min="2" max="2" width="10.7109375" style="85" customWidth="1"/>
    <col min="3" max="6" width="11.42578125" style="85"/>
    <col min="7" max="7" width="12.28515625" style="85" bestFit="1" customWidth="1"/>
    <col min="8" max="8" width="11.42578125" style="85"/>
    <col min="9" max="9" width="12.28515625" style="85" bestFit="1" customWidth="1"/>
    <col min="10" max="10" width="11.42578125" style="85"/>
    <col min="11" max="11" width="12.28515625" style="85" bestFit="1" customWidth="1"/>
    <col min="12" max="16384" width="11.42578125" style="85"/>
  </cols>
  <sheetData>
    <row r="1" spans="1:14" x14ac:dyDescent="0.2">
      <c r="C1" s="180" t="s">
        <v>246</v>
      </c>
    </row>
    <row r="2" spans="1:14" ht="13.5" thickBot="1" x14ac:dyDescent="0.25"/>
    <row r="3" spans="1:14" ht="14.25" thickTop="1" thickBot="1" x14ac:dyDescent="0.25">
      <c r="A3" s="86" t="s">
        <v>142</v>
      </c>
      <c r="B3" s="87" t="s">
        <v>143</v>
      </c>
      <c r="C3" s="88" t="s">
        <v>144</v>
      </c>
      <c r="D3" s="88" t="s">
        <v>145</v>
      </c>
      <c r="E3" s="88" t="s">
        <v>146</v>
      </c>
      <c r="F3" s="88" t="s">
        <v>147</v>
      </c>
      <c r="G3" s="88" t="s">
        <v>148</v>
      </c>
      <c r="H3" s="88" t="s">
        <v>149</v>
      </c>
      <c r="I3" s="88" t="s">
        <v>150</v>
      </c>
      <c r="J3" s="88" t="s">
        <v>151</v>
      </c>
      <c r="K3" s="88" t="s">
        <v>152</v>
      </c>
      <c r="L3" s="88" t="s">
        <v>153</v>
      </c>
      <c r="M3" s="89" t="s">
        <v>154</v>
      </c>
      <c r="N3" s="86" t="s">
        <v>142</v>
      </c>
    </row>
    <row r="5" spans="1:14" x14ac:dyDescent="0.2">
      <c r="A5" s="281">
        <v>1960</v>
      </c>
      <c r="B5" s="286">
        <v>0</v>
      </c>
      <c r="C5" s="286">
        <v>0</v>
      </c>
      <c r="D5" s="286">
        <v>1.8737E-2</v>
      </c>
      <c r="E5" s="286">
        <v>0</v>
      </c>
      <c r="F5" s="286">
        <v>0</v>
      </c>
      <c r="G5" s="286">
        <v>0</v>
      </c>
      <c r="H5" s="286">
        <v>0</v>
      </c>
      <c r="I5" s="286">
        <v>0</v>
      </c>
      <c r="J5" s="286">
        <v>0</v>
      </c>
      <c r="K5" s="286">
        <v>0</v>
      </c>
      <c r="L5" s="286">
        <v>0</v>
      </c>
      <c r="M5" s="286">
        <v>0</v>
      </c>
      <c r="N5" s="281">
        <v>1960</v>
      </c>
    </row>
    <row r="6" spans="1:14" x14ac:dyDescent="0.2">
      <c r="A6" s="90">
        <v>1961</v>
      </c>
      <c r="B6" s="200">
        <v>0</v>
      </c>
      <c r="C6" s="200">
        <v>0</v>
      </c>
      <c r="D6" s="200">
        <v>0</v>
      </c>
      <c r="E6" s="200">
        <v>0</v>
      </c>
      <c r="F6" s="200">
        <v>0</v>
      </c>
      <c r="G6" s="200">
        <v>0</v>
      </c>
      <c r="H6" s="200">
        <v>0</v>
      </c>
      <c r="I6" s="200">
        <v>0</v>
      </c>
      <c r="J6" s="200">
        <v>0</v>
      </c>
      <c r="K6" s="200">
        <v>0</v>
      </c>
      <c r="L6" s="200">
        <v>0</v>
      </c>
      <c r="M6" s="200">
        <v>0</v>
      </c>
      <c r="N6" s="90">
        <v>1961</v>
      </c>
    </row>
    <row r="7" spans="1:14" x14ac:dyDescent="0.2">
      <c r="A7" s="281">
        <v>1962</v>
      </c>
      <c r="B7" s="286">
        <v>0</v>
      </c>
      <c r="C7" s="286">
        <v>0</v>
      </c>
      <c r="D7" s="286">
        <v>0</v>
      </c>
      <c r="E7" s="286">
        <v>0</v>
      </c>
      <c r="F7" s="286">
        <v>0</v>
      </c>
      <c r="G7" s="286">
        <v>0</v>
      </c>
      <c r="H7" s="286">
        <v>0</v>
      </c>
      <c r="I7" s="286">
        <v>0</v>
      </c>
      <c r="J7" s="286">
        <v>0</v>
      </c>
      <c r="K7" s="286">
        <v>0</v>
      </c>
      <c r="L7" s="286">
        <v>0</v>
      </c>
      <c r="M7" s="286">
        <v>0</v>
      </c>
      <c r="N7" s="281">
        <v>1962</v>
      </c>
    </row>
    <row r="8" spans="1:14" x14ac:dyDescent="0.2">
      <c r="A8" s="90">
        <v>1963</v>
      </c>
      <c r="B8" s="200">
        <v>0</v>
      </c>
      <c r="C8" s="200">
        <v>0</v>
      </c>
      <c r="D8" s="200">
        <v>0</v>
      </c>
      <c r="E8" s="200">
        <v>0</v>
      </c>
      <c r="F8" s="200">
        <v>0</v>
      </c>
      <c r="G8" s="200">
        <v>0</v>
      </c>
      <c r="H8" s="200">
        <v>0</v>
      </c>
      <c r="I8" s="200">
        <v>0</v>
      </c>
      <c r="J8" s="200">
        <v>0</v>
      </c>
      <c r="K8" s="200">
        <v>0</v>
      </c>
      <c r="L8" s="200">
        <v>0</v>
      </c>
      <c r="M8" s="200">
        <v>0</v>
      </c>
      <c r="N8" s="90">
        <v>1963</v>
      </c>
    </row>
    <row r="9" spans="1:14" x14ac:dyDescent="0.2">
      <c r="A9" s="281">
        <v>1964</v>
      </c>
      <c r="B9" s="286">
        <v>0</v>
      </c>
      <c r="C9" s="286">
        <v>0</v>
      </c>
      <c r="D9" s="286">
        <v>0</v>
      </c>
      <c r="E9" s="286">
        <v>0</v>
      </c>
      <c r="F9" s="286">
        <v>2.0444E-2</v>
      </c>
      <c r="G9" s="286">
        <v>0</v>
      </c>
      <c r="H9" s="286">
        <v>0</v>
      </c>
      <c r="I9" s="286">
        <v>0</v>
      </c>
      <c r="J9" s="286">
        <v>0</v>
      </c>
      <c r="K9" s="286">
        <v>0</v>
      </c>
      <c r="L9" s="286">
        <v>0</v>
      </c>
      <c r="M9" s="286">
        <v>0</v>
      </c>
      <c r="N9" s="281">
        <v>1964</v>
      </c>
    </row>
    <row r="10" spans="1:14" x14ac:dyDescent="0.2">
      <c r="A10" s="90">
        <v>1965</v>
      </c>
      <c r="B10" s="200">
        <v>0</v>
      </c>
      <c r="C10" s="200">
        <v>0</v>
      </c>
      <c r="D10" s="200">
        <v>0</v>
      </c>
      <c r="E10" s="200">
        <v>0</v>
      </c>
      <c r="F10" s="200">
        <v>0</v>
      </c>
      <c r="G10" s="200">
        <v>0</v>
      </c>
      <c r="H10" s="200">
        <v>0</v>
      </c>
      <c r="I10" s="200">
        <v>2.9090000000000001E-2</v>
      </c>
      <c r="J10" s="200">
        <v>0</v>
      </c>
      <c r="K10" s="200">
        <v>0</v>
      </c>
      <c r="L10" s="200">
        <v>0</v>
      </c>
      <c r="M10" s="200">
        <v>0</v>
      </c>
      <c r="N10" s="90">
        <v>1965</v>
      </c>
    </row>
    <row r="11" spans="1:14" x14ac:dyDescent="0.2">
      <c r="A11" s="281">
        <v>1966</v>
      </c>
      <c r="B11" s="286">
        <v>0</v>
      </c>
      <c r="C11" s="286">
        <v>0</v>
      </c>
      <c r="D11" s="286">
        <v>0</v>
      </c>
      <c r="E11" s="286">
        <v>0</v>
      </c>
      <c r="F11" s="286">
        <v>0</v>
      </c>
      <c r="G11" s="286">
        <v>0</v>
      </c>
      <c r="H11" s="286">
        <v>0</v>
      </c>
      <c r="I11" s="286">
        <v>0</v>
      </c>
      <c r="J11" s="286">
        <v>0</v>
      </c>
      <c r="K11" s="286">
        <v>0</v>
      </c>
      <c r="L11" s="286">
        <v>0</v>
      </c>
      <c r="M11" s="286">
        <v>0</v>
      </c>
      <c r="N11" s="281">
        <v>1966</v>
      </c>
    </row>
    <row r="12" spans="1:14" x14ac:dyDescent="0.2">
      <c r="A12" s="90">
        <v>1967</v>
      </c>
      <c r="B12" s="200">
        <v>0</v>
      </c>
      <c r="C12" s="200">
        <v>0</v>
      </c>
      <c r="D12" s="200">
        <v>0</v>
      </c>
      <c r="E12" s="200">
        <v>0</v>
      </c>
      <c r="F12" s="200">
        <v>0</v>
      </c>
      <c r="G12" s="200">
        <v>0</v>
      </c>
      <c r="H12" s="200">
        <v>0</v>
      </c>
      <c r="I12" s="200">
        <v>0</v>
      </c>
      <c r="J12" s="200">
        <v>0</v>
      </c>
      <c r="K12" s="200">
        <v>0</v>
      </c>
      <c r="L12" s="200">
        <v>0</v>
      </c>
      <c r="M12" s="200">
        <v>0</v>
      </c>
      <c r="N12" s="90">
        <v>1967</v>
      </c>
    </row>
    <row r="13" spans="1:14" x14ac:dyDescent="0.2">
      <c r="A13" s="281">
        <v>1968</v>
      </c>
      <c r="B13" s="286">
        <v>0</v>
      </c>
      <c r="C13" s="286">
        <v>0</v>
      </c>
      <c r="D13" s="286">
        <v>0</v>
      </c>
      <c r="E13" s="286">
        <v>0</v>
      </c>
      <c r="F13" s="286">
        <v>0</v>
      </c>
      <c r="G13" s="286">
        <v>0</v>
      </c>
      <c r="H13" s="286">
        <v>0</v>
      </c>
      <c r="I13" s="286">
        <v>0</v>
      </c>
      <c r="J13" s="286">
        <v>0</v>
      </c>
      <c r="K13" s="286">
        <v>0</v>
      </c>
      <c r="L13" s="286">
        <v>0</v>
      </c>
      <c r="M13" s="286">
        <v>0</v>
      </c>
      <c r="N13" s="281">
        <v>1968</v>
      </c>
    </row>
    <row r="14" spans="1:14" x14ac:dyDescent="0.2">
      <c r="A14" s="90">
        <v>1969</v>
      </c>
      <c r="B14" s="200">
        <v>0</v>
      </c>
      <c r="C14" s="200">
        <v>0</v>
      </c>
      <c r="D14" s="200">
        <v>0</v>
      </c>
      <c r="E14" s="200">
        <v>0</v>
      </c>
      <c r="F14" s="200">
        <v>0</v>
      </c>
      <c r="G14" s="200">
        <v>0</v>
      </c>
      <c r="H14" s="200">
        <v>0</v>
      </c>
      <c r="I14" s="200">
        <v>0</v>
      </c>
      <c r="J14" s="200">
        <v>0</v>
      </c>
      <c r="K14" s="200">
        <v>0</v>
      </c>
      <c r="L14" s="200">
        <v>0</v>
      </c>
      <c r="M14" s="200">
        <v>2.3368E-2</v>
      </c>
      <c r="N14" s="90">
        <v>1969</v>
      </c>
    </row>
    <row r="15" spans="1:14" x14ac:dyDescent="0.2">
      <c r="A15" s="281">
        <v>1970</v>
      </c>
      <c r="B15" s="286">
        <v>2.3545E-2</v>
      </c>
      <c r="C15" s="286">
        <v>0</v>
      </c>
      <c r="D15" s="286">
        <v>0</v>
      </c>
      <c r="E15" s="286">
        <v>0</v>
      </c>
      <c r="F15" s="286">
        <v>0</v>
      </c>
      <c r="G15" s="286">
        <v>0</v>
      </c>
      <c r="H15" s="286">
        <v>0</v>
      </c>
      <c r="I15" s="286">
        <v>0</v>
      </c>
      <c r="J15" s="286">
        <v>0</v>
      </c>
      <c r="K15" s="286">
        <v>0</v>
      </c>
      <c r="L15" s="286">
        <v>2.426E-2</v>
      </c>
      <c r="M15" s="286">
        <v>2.4465000000000001E-2</v>
      </c>
      <c r="N15" s="281">
        <v>1970</v>
      </c>
    </row>
    <row r="16" spans="1:14" x14ac:dyDescent="0.2">
      <c r="A16" s="90">
        <v>1971</v>
      </c>
      <c r="B16" s="200">
        <v>0</v>
      </c>
      <c r="C16" s="200">
        <v>0</v>
      </c>
      <c r="D16" s="200">
        <v>0</v>
      </c>
      <c r="E16" s="200">
        <v>0</v>
      </c>
      <c r="F16" s="200">
        <v>0</v>
      </c>
      <c r="G16" s="200">
        <v>0</v>
      </c>
      <c r="H16" s="200">
        <v>0</v>
      </c>
      <c r="I16" s="200">
        <v>0</v>
      </c>
      <c r="J16" s="200">
        <v>0</v>
      </c>
      <c r="K16" s="200">
        <v>0</v>
      </c>
      <c r="L16" s="200">
        <v>0</v>
      </c>
      <c r="M16" s="200">
        <v>0</v>
      </c>
      <c r="N16" s="90">
        <v>1971</v>
      </c>
    </row>
    <row r="17" spans="1:14" x14ac:dyDescent="0.2">
      <c r="A17" s="281">
        <v>1972</v>
      </c>
      <c r="B17" s="286">
        <v>0</v>
      </c>
      <c r="C17" s="286">
        <v>0</v>
      </c>
      <c r="D17" s="286">
        <v>0</v>
      </c>
      <c r="E17" s="286">
        <v>0</v>
      </c>
      <c r="F17" s="286">
        <v>0</v>
      </c>
      <c r="G17" s="286">
        <v>0</v>
      </c>
      <c r="H17" s="286">
        <v>0</v>
      </c>
      <c r="I17" s="286">
        <v>0</v>
      </c>
      <c r="J17" s="286">
        <v>0</v>
      </c>
      <c r="K17" s="286">
        <v>0</v>
      </c>
      <c r="L17" s="286">
        <v>0</v>
      </c>
      <c r="M17" s="286">
        <v>0</v>
      </c>
      <c r="N17" s="281">
        <v>1972</v>
      </c>
    </row>
    <row r="18" spans="1:14" x14ac:dyDescent="0.2">
      <c r="A18" s="90">
        <v>1973</v>
      </c>
      <c r="B18" s="200">
        <v>0</v>
      </c>
      <c r="C18" s="200">
        <v>0</v>
      </c>
      <c r="D18" s="200">
        <v>0</v>
      </c>
      <c r="E18" s="200">
        <v>0</v>
      </c>
      <c r="F18" s="200">
        <v>0</v>
      </c>
      <c r="G18" s="200">
        <v>0</v>
      </c>
      <c r="H18" s="200">
        <v>0</v>
      </c>
      <c r="I18" s="200">
        <v>0</v>
      </c>
      <c r="J18" s="200">
        <v>0</v>
      </c>
      <c r="K18" s="200">
        <v>0</v>
      </c>
      <c r="L18" s="200">
        <v>0</v>
      </c>
      <c r="M18" s="200">
        <v>0</v>
      </c>
      <c r="N18" s="90">
        <v>1973</v>
      </c>
    </row>
    <row r="19" spans="1:14" x14ac:dyDescent="0.2">
      <c r="A19" s="281">
        <v>1974</v>
      </c>
      <c r="B19" s="286">
        <v>0</v>
      </c>
      <c r="C19" s="286">
        <v>0</v>
      </c>
      <c r="D19" s="286">
        <v>0</v>
      </c>
      <c r="E19" s="286">
        <v>0</v>
      </c>
      <c r="F19" s="286">
        <v>0</v>
      </c>
      <c r="G19" s="286">
        <v>0</v>
      </c>
      <c r="H19" s="286">
        <v>0</v>
      </c>
      <c r="I19" s="286">
        <v>0</v>
      </c>
      <c r="J19" s="286">
        <v>0</v>
      </c>
      <c r="K19" s="286">
        <v>0</v>
      </c>
      <c r="L19" s="286">
        <v>0</v>
      </c>
      <c r="M19" s="286">
        <v>0</v>
      </c>
      <c r="N19" s="281">
        <v>1974</v>
      </c>
    </row>
    <row r="20" spans="1:14" x14ac:dyDescent="0.2">
      <c r="A20" s="90">
        <v>1975</v>
      </c>
      <c r="B20" s="200">
        <v>0</v>
      </c>
      <c r="C20" s="200">
        <v>0</v>
      </c>
      <c r="D20" s="200">
        <v>0</v>
      </c>
      <c r="E20" s="200">
        <v>0</v>
      </c>
      <c r="F20" s="200">
        <v>0</v>
      </c>
      <c r="G20" s="200">
        <v>0</v>
      </c>
      <c r="H20" s="200">
        <v>0</v>
      </c>
      <c r="I20" s="200">
        <v>0</v>
      </c>
      <c r="J20" s="200">
        <v>0</v>
      </c>
      <c r="K20" s="200">
        <v>0</v>
      </c>
      <c r="L20" s="200">
        <v>0</v>
      </c>
      <c r="M20" s="200">
        <v>0</v>
      </c>
      <c r="N20" s="90">
        <v>1975</v>
      </c>
    </row>
    <row r="21" spans="1:14" x14ac:dyDescent="0.2">
      <c r="A21" s="281">
        <v>1976</v>
      </c>
      <c r="B21" s="286">
        <v>0</v>
      </c>
      <c r="C21" s="286">
        <v>0</v>
      </c>
      <c r="D21" s="286">
        <v>0</v>
      </c>
      <c r="E21" s="286">
        <v>0</v>
      </c>
      <c r="F21" s="286">
        <v>0</v>
      </c>
      <c r="G21" s="286">
        <v>0</v>
      </c>
      <c r="H21" s="286">
        <v>0</v>
      </c>
      <c r="I21" s="286">
        <v>0</v>
      </c>
      <c r="J21" s="286">
        <v>0</v>
      </c>
      <c r="K21" s="286">
        <v>0</v>
      </c>
      <c r="L21" s="286">
        <v>0</v>
      </c>
      <c r="M21" s="286">
        <v>0</v>
      </c>
      <c r="N21" s="281">
        <v>1976</v>
      </c>
    </row>
    <row r="22" spans="1:14" x14ac:dyDescent="0.2">
      <c r="A22" s="90">
        <v>1977</v>
      </c>
      <c r="B22" s="200">
        <v>0</v>
      </c>
      <c r="C22" s="200">
        <v>0</v>
      </c>
      <c r="D22" s="200">
        <v>0</v>
      </c>
      <c r="E22" s="200">
        <v>0</v>
      </c>
      <c r="F22" s="200">
        <v>0</v>
      </c>
      <c r="G22" s="200">
        <v>0</v>
      </c>
      <c r="H22" s="200">
        <v>0</v>
      </c>
      <c r="I22" s="200">
        <v>0</v>
      </c>
      <c r="J22" s="200">
        <v>0</v>
      </c>
      <c r="K22" s="200">
        <v>0</v>
      </c>
      <c r="L22" s="200">
        <v>0</v>
      </c>
      <c r="M22" s="200">
        <v>0</v>
      </c>
      <c r="N22" s="90">
        <v>1977</v>
      </c>
    </row>
    <row r="23" spans="1:14" x14ac:dyDescent="0.2">
      <c r="A23" s="281">
        <v>1978</v>
      </c>
      <c r="B23" s="286">
        <v>0</v>
      </c>
      <c r="C23" s="286">
        <v>0</v>
      </c>
      <c r="D23" s="286">
        <v>0</v>
      </c>
      <c r="E23" s="286">
        <v>0</v>
      </c>
      <c r="F23" s="286">
        <v>0</v>
      </c>
      <c r="G23" s="286">
        <v>0</v>
      </c>
      <c r="H23" s="286">
        <v>0</v>
      </c>
      <c r="I23" s="286">
        <v>0</v>
      </c>
      <c r="J23" s="286">
        <v>0</v>
      </c>
      <c r="K23" s="286">
        <v>0</v>
      </c>
      <c r="L23" s="286">
        <v>0</v>
      </c>
      <c r="M23" s="286">
        <v>0</v>
      </c>
      <c r="N23" s="281">
        <v>1978</v>
      </c>
    </row>
    <row r="24" spans="1:14" x14ac:dyDescent="0.2">
      <c r="A24" s="90">
        <v>1979</v>
      </c>
      <c r="B24" s="200">
        <v>0</v>
      </c>
      <c r="C24" s="200">
        <v>0</v>
      </c>
      <c r="D24" s="200">
        <v>0</v>
      </c>
      <c r="E24" s="200">
        <v>0</v>
      </c>
      <c r="F24" s="200">
        <v>0</v>
      </c>
      <c r="G24" s="200">
        <v>0</v>
      </c>
      <c r="H24" s="200">
        <v>0</v>
      </c>
      <c r="I24" s="200">
        <v>0</v>
      </c>
      <c r="J24" s="200">
        <v>0</v>
      </c>
      <c r="K24" s="200">
        <v>0</v>
      </c>
      <c r="L24" s="200">
        <v>0</v>
      </c>
      <c r="M24" s="200">
        <v>0</v>
      </c>
      <c r="N24" s="90">
        <v>1979</v>
      </c>
    </row>
    <row r="25" spans="1:14" x14ac:dyDescent="0.2">
      <c r="A25" s="281">
        <v>1980</v>
      </c>
      <c r="B25" s="286">
        <v>0</v>
      </c>
      <c r="C25" s="286">
        <v>0</v>
      </c>
      <c r="D25" s="286">
        <v>0</v>
      </c>
      <c r="E25" s="286">
        <v>0</v>
      </c>
      <c r="F25" s="286">
        <v>0</v>
      </c>
      <c r="G25" s="286">
        <v>0</v>
      </c>
      <c r="H25" s="286">
        <v>0</v>
      </c>
      <c r="I25" s="286">
        <v>0</v>
      </c>
      <c r="J25" s="286">
        <v>0</v>
      </c>
      <c r="K25" s="286">
        <v>0.11753</v>
      </c>
      <c r="L25" s="286">
        <v>0.11957</v>
      </c>
      <c r="M25" s="286">
        <v>0.1227</v>
      </c>
      <c r="N25" s="281">
        <v>1980</v>
      </c>
    </row>
    <row r="26" spans="1:14" x14ac:dyDescent="0.2">
      <c r="A26" s="90">
        <v>1981</v>
      </c>
      <c r="B26" s="91">
        <v>0.127</v>
      </c>
      <c r="C26" s="91">
        <v>0.13</v>
      </c>
      <c r="D26" s="91">
        <v>0.13300000000000001</v>
      </c>
      <c r="E26" s="91">
        <v>0.13600000000000001</v>
      </c>
      <c r="F26" s="91">
        <v>0.13800000000000001</v>
      </c>
      <c r="G26" s="91">
        <v>0.14000000000000001</v>
      </c>
      <c r="H26" s="91">
        <v>0.14199999999999999</v>
      </c>
      <c r="I26" s="91">
        <v>0.14499999999999999</v>
      </c>
      <c r="J26" s="91">
        <v>0.14799999999999999</v>
      </c>
      <c r="K26" s="91">
        <v>0.151</v>
      </c>
      <c r="L26" s="91">
        <v>0.154</v>
      </c>
      <c r="M26" s="91">
        <v>0.158</v>
      </c>
      <c r="N26" s="90">
        <v>1981</v>
      </c>
    </row>
    <row r="27" spans="1:14" x14ac:dyDescent="0.2">
      <c r="A27" s="281">
        <v>1982</v>
      </c>
      <c r="B27" s="282">
        <v>0.16600000000000001</v>
      </c>
      <c r="C27" s="282">
        <v>0.17199999999999999</v>
      </c>
      <c r="D27" s="282">
        <v>0.17899999999999999</v>
      </c>
      <c r="E27" s="282">
        <v>0.188</v>
      </c>
      <c r="F27" s="282">
        <v>0.19900000000000001</v>
      </c>
      <c r="G27" s="282">
        <v>0.20799999999999999</v>
      </c>
      <c r="H27" s="282">
        <v>0.219</v>
      </c>
      <c r="I27" s="282">
        <v>0.24399999999999999</v>
      </c>
      <c r="J27" s="282">
        <v>0.25700000000000001</v>
      </c>
      <c r="K27" s="282">
        <v>0.27</v>
      </c>
      <c r="L27" s="282">
        <v>0.28399999999999997</v>
      </c>
      <c r="M27" s="282">
        <v>0.314</v>
      </c>
      <c r="N27" s="281">
        <v>1982</v>
      </c>
    </row>
    <row r="28" spans="1:14" x14ac:dyDescent="0.2">
      <c r="A28" s="90">
        <v>1983</v>
      </c>
      <c r="B28" s="91">
        <v>0.34799999999999998</v>
      </c>
      <c r="C28" s="91">
        <v>0.36699999999999999</v>
      </c>
      <c r="D28" s="91">
        <v>0.38500000000000001</v>
      </c>
      <c r="E28" s="91">
        <v>0.40899999999999997</v>
      </c>
      <c r="F28" s="91">
        <v>0.42699999999999999</v>
      </c>
      <c r="G28" s="91">
        <v>0.443</v>
      </c>
      <c r="H28" s="91">
        <v>0.46500000000000002</v>
      </c>
      <c r="I28" s="91">
        <v>0.48299999999999998</v>
      </c>
      <c r="J28" s="91">
        <v>0.498</v>
      </c>
      <c r="K28" s="91">
        <v>0.51400000000000001</v>
      </c>
      <c r="L28" s="91">
        <v>0.54400000000000004</v>
      </c>
      <c r="M28" s="91">
        <v>0.56799999999999995</v>
      </c>
      <c r="N28" s="90">
        <v>1983</v>
      </c>
    </row>
    <row r="29" spans="1:14" x14ac:dyDescent="0.2">
      <c r="A29" s="281">
        <v>1984</v>
      </c>
      <c r="B29" s="282">
        <v>0.60399999999999998</v>
      </c>
      <c r="C29" s="282">
        <v>0.63600000000000001</v>
      </c>
      <c r="D29" s="282">
        <v>0.66300000000000003</v>
      </c>
      <c r="E29" s="282">
        <v>0.69099999999999995</v>
      </c>
      <c r="F29" s="282">
        <v>0.71399999999999997</v>
      </c>
      <c r="G29" s="282">
        <v>0.74</v>
      </c>
      <c r="H29" s="282">
        <v>0.76400000000000001</v>
      </c>
      <c r="I29" s="282">
        <v>0.78600000000000003</v>
      </c>
      <c r="J29" s="282">
        <v>0.81</v>
      </c>
      <c r="K29" s="282">
        <v>0.83799999999999997</v>
      </c>
      <c r="L29" s="282">
        <v>0.86699999999999999</v>
      </c>
      <c r="M29" s="282">
        <v>0.90300000000000002</v>
      </c>
      <c r="N29" s="281">
        <v>1984</v>
      </c>
    </row>
    <row r="30" spans="1:14" x14ac:dyDescent="0.2">
      <c r="A30" s="90">
        <v>1985</v>
      </c>
      <c r="B30" s="91">
        <v>0.97</v>
      </c>
      <c r="C30" s="91">
        <v>1.0109999999999999</v>
      </c>
      <c r="D30" s="91">
        <v>1.05</v>
      </c>
      <c r="E30" s="91">
        <v>1.0820000000000001</v>
      </c>
      <c r="F30" s="91">
        <v>1.1080000000000001</v>
      </c>
      <c r="G30" s="91">
        <v>1.1359999999999999</v>
      </c>
      <c r="H30" s="91">
        <v>1.175</v>
      </c>
      <c r="I30" s="91">
        <v>1.226</v>
      </c>
      <c r="J30" s="91">
        <v>1.2749999999999999</v>
      </c>
      <c r="K30" s="91">
        <v>1.3240000000000001</v>
      </c>
      <c r="L30" s="91">
        <v>1.385</v>
      </c>
      <c r="M30" s="91">
        <v>1.4790000000000001</v>
      </c>
      <c r="N30" s="90">
        <v>1985</v>
      </c>
    </row>
    <row r="31" spans="1:14" x14ac:dyDescent="0.2">
      <c r="A31" s="281">
        <v>1986</v>
      </c>
      <c r="B31" s="282">
        <v>1.61</v>
      </c>
      <c r="C31" s="282">
        <v>1.6819999999999999</v>
      </c>
      <c r="D31" s="282">
        <v>1.76</v>
      </c>
      <c r="E31" s="282">
        <v>1.8520000000000001</v>
      </c>
      <c r="F31" s="282">
        <v>1.9550000000000001</v>
      </c>
      <c r="G31" s="282">
        <v>2.08</v>
      </c>
      <c r="H31" s="282">
        <v>2.1840000000000002</v>
      </c>
      <c r="I31" s="282">
        <v>2.3580000000000001</v>
      </c>
      <c r="J31" s="282">
        <v>2.4990000000000001</v>
      </c>
      <c r="K31" s="282">
        <v>2.6419999999999999</v>
      </c>
      <c r="L31" s="282">
        <v>2.8210000000000002</v>
      </c>
      <c r="M31" s="282">
        <v>3.044</v>
      </c>
      <c r="N31" s="281">
        <v>1986</v>
      </c>
    </row>
    <row r="32" spans="1:14" x14ac:dyDescent="0.2">
      <c r="A32" s="90">
        <v>1987</v>
      </c>
      <c r="B32" s="91">
        <v>3.29</v>
      </c>
      <c r="C32" s="91">
        <v>3.5270000000000001</v>
      </c>
      <c r="D32" s="91">
        <v>3.7610000000000001</v>
      </c>
      <c r="E32" s="91">
        <v>4.09</v>
      </c>
      <c r="F32" s="91">
        <v>4.3979999999999997</v>
      </c>
      <c r="G32" s="91">
        <v>4.7160000000000002</v>
      </c>
      <c r="H32" s="91">
        <v>5.0979999999999999</v>
      </c>
      <c r="I32" s="91">
        <v>5.5149999999999997</v>
      </c>
      <c r="J32" s="91">
        <v>5.8780000000000001</v>
      </c>
      <c r="K32" s="91">
        <v>6.3680000000000003</v>
      </c>
      <c r="L32" s="91">
        <v>6.8730000000000002</v>
      </c>
      <c r="M32" s="91">
        <v>7.8879999999999999</v>
      </c>
      <c r="N32" s="90">
        <v>1987</v>
      </c>
    </row>
    <row r="33" spans="1:14" x14ac:dyDescent="0.2">
      <c r="A33" s="281">
        <v>1988</v>
      </c>
      <c r="B33" s="282">
        <v>9.1080000000000005</v>
      </c>
      <c r="C33" s="282">
        <v>9.8670000000000009</v>
      </c>
      <c r="D33" s="282">
        <v>10.372999999999999</v>
      </c>
      <c r="E33" s="282">
        <v>10.692</v>
      </c>
      <c r="F33" s="282">
        <v>10.898999999999999</v>
      </c>
      <c r="G33" s="282">
        <v>11.121</v>
      </c>
      <c r="H33" s="282">
        <v>11.307</v>
      </c>
      <c r="I33" s="282">
        <v>11.411</v>
      </c>
      <c r="J33" s="282">
        <v>11.476000000000001</v>
      </c>
      <c r="K33" s="282">
        <v>11.563000000000001</v>
      </c>
      <c r="L33" s="282">
        <v>11.718</v>
      </c>
      <c r="M33" s="282">
        <v>11.962999999999999</v>
      </c>
      <c r="N33" s="281">
        <v>1988</v>
      </c>
    </row>
    <row r="34" spans="1:14" x14ac:dyDescent="0.2">
      <c r="A34" s="90">
        <v>1989</v>
      </c>
      <c r="B34" s="91">
        <v>12.256</v>
      </c>
      <c r="C34" s="91">
        <v>12.422000000000001</v>
      </c>
      <c r="D34" s="91">
        <v>12.555999999999999</v>
      </c>
      <c r="E34" s="91">
        <v>12.744</v>
      </c>
      <c r="F34" s="91">
        <v>12.92</v>
      </c>
      <c r="G34" s="91">
        <v>13.077</v>
      </c>
      <c r="H34" s="91">
        <v>13.207000000000001</v>
      </c>
      <c r="I34" s="91">
        <v>13.333</v>
      </c>
      <c r="J34" s="91">
        <v>13.461</v>
      </c>
      <c r="K34" s="91">
        <v>13.66</v>
      </c>
      <c r="L34" s="91">
        <v>13.852</v>
      </c>
      <c r="M34" s="91">
        <v>14.319000000000001</v>
      </c>
      <c r="N34" s="90">
        <v>1989</v>
      </c>
    </row>
    <row r="35" spans="1:14" x14ac:dyDescent="0.2">
      <c r="A35" s="281">
        <v>1990</v>
      </c>
      <c r="B35" s="282">
        <v>15.01</v>
      </c>
      <c r="C35" s="282">
        <v>15.35</v>
      </c>
      <c r="D35" s="282">
        <v>15.621</v>
      </c>
      <c r="E35" s="282">
        <v>15.858000000000001</v>
      </c>
      <c r="F35" s="282">
        <v>16.135000000000002</v>
      </c>
      <c r="G35" s="282">
        <v>16.489999999999998</v>
      </c>
      <c r="H35" s="282">
        <v>16.791</v>
      </c>
      <c r="I35" s="282">
        <v>17.077000000000002</v>
      </c>
      <c r="J35" s="282">
        <v>17.321000000000002</v>
      </c>
      <c r="K35" s="282">
        <v>17.57</v>
      </c>
      <c r="L35" s="282">
        <v>18.036000000000001</v>
      </c>
      <c r="M35" s="282">
        <v>18.605</v>
      </c>
      <c r="N35" s="281">
        <v>1990</v>
      </c>
    </row>
    <row r="36" spans="1:14" x14ac:dyDescent="0.2">
      <c r="A36" s="90">
        <v>1991</v>
      </c>
      <c r="B36" s="91">
        <v>19.079000000000001</v>
      </c>
      <c r="C36" s="91">
        <v>19.411999999999999</v>
      </c>
      <c r="D36" s="91">
        <v>19.689</v>
      </c>
      <c r="E36" s="91">
        <v>19.895</v>
      </c>
      <c r="F36" s="91">
        <v>20.088999999999999</v>
      </c>
      <c r="G36" s="91">
        <v>20.3</v>
      </c>
      <c r="H36" s="91">
        <v>20.48</v>
      </c>
      <c r="I36" s="91">
        <v>20.622</v>
      </c>
      <c r="J36" s="91">
        <v>20.827999999999999</v>
      </c>
      <c r="K36" s="91">
        <v>21.07</v>
      </c>
      <c r="L36" s="91">
        <v>21.593</v>
      </c>
      <c r="M36" s="91">
        <v>22.100999999999999</v>
      </c>
      <c r="N36" s="90">
        <v>1991</v>
      </c>
    </row>
    <row r="37" spans="1:14" x14ac:dyDescent="0.2">
      <c r="A37" s="281">
        <v>1992</v>
      </c>
      <c r="B37" s="282">
        <v>22.503</v>
      </c>
      <c r="C37" s="282">
        <v>22.77</v>
      </c>
      <c r="D37" s="282">
        <v>23.001000000000001</v>
      </c>
      <c r="E37" s="282">
        <v>23.206</v>
      </c>
      <c r="F37" s="282">
        <v>23.359000000000002</v>
      </c>
      <c r="G37" s="282">
        <v>23.516999999999999</v>
      </c>
      <c r="H37" s="282">
        <v>23.666</v>
      </c>
      <c r="I37" s="282">
        <v>23.811</v>
      </c>
      <c r="J37" s="282">
        <v>24.018000000000001</v>
      </c>
      <c r="K37" s="282">
        <v>24.190999999999999</v>
      </c>
      <c r="L37" s="282">
        <v>24.391999999999999</v>
      </c>
      <c r="M37" s="282">
        <v>24.74</v>
      </c>
      <c r="N37" s="281">
        <v>1992</v>
      </c>
    </row>
    <row r="38" spans="1:14" x14ac:dyDescent="0.2">
      <c r="A38" s="90">
        <v>1993</v>
      </c>
      <c r="B38" s="91">
        <v>25.05</v>
      </c>
      <c r="C38" s="91">
        <v>25.254999999999999</v>
      </c>
      <c r="D38" s="91">
        <v>25.402000000000001</v>
      </c>
      <c r="E38" s="91">
        <v>25.547999999999998</v>
      </c>
      <c r="F38" s="91">
        <v>25.693999999999999</v>
      </c>
      <c r="G38" s="91">
        <v>25.838999999999999</v>
      </c>
      <c r="H38" s="91">
        <v>25.963000000000001</v>
      </c>
      <c r="I38" s="91">
        <v>26.102</v>
      </c>
      <c r="J38" s="91">
        <v>26.295000000000002</v>
      </c>
      <c r="K38" s="91">
        <v>26.402999999999999</v>
      </c>
      <c r="L38" s="91">
        <v>26.518999999999998</v>
      </c>
      <c r="M38" s="91">
        <v>26.721</v>
      </c>
      <c r="N38" s="90">
        <v>1993</v>
      </c>
    </row>
    <row r="39" spans="1:14" x14ac:dyDescent="0.2">
      <c r="A39" s="281">
        <v>1994</v>
      </c>
      <c r="B39" s="282">
        <v>26.928000000000001</v>
      </c>
      <c r="C39" s="282">
        <v>27.067</v>
      </c>
      <c r="D39" s="282">
        <v>27.206</v>
      </c>
      <c r="E39" s="282">
        <v>27.338999999999999</v>
      </c>
      <c r="F39" s="282">
        <v>27.471</v>
      </c>
      <c r="G39" s="282">
        <v>27.609000000000002</v>
      </c>
      <c r="H39" s="282">
        <v>27.731000000000002</v>
      </c>
      <c r="I39" s="282">
        <v>27.861000000000001</v>
      </c>
      <c r="J39" s="282">
        <v>28.059000000000001</v>
      </c>
      <c r="K39" s="282">
        <v>28.206</v>
      </c>
      <c r="L39" s="282">
        <v>28.356999999999999</v>
      </c>
      <c r="M39" s="282">
        <v>28.605</v>
      </c>
      <c r="N39" s="281">
        <v>1994</v>
      </c>
    </row>
    <row r="40" spans="1:14" x14ac:dyDescent="0.2">
      <c r="A40" s="90">
        <v>1995</v>
      </c>
      <c r="B40" s="91">
        <v>29.681999999999999</v>
      </c>
      <c r="C40" s="91">
        <v>30.94</v>
      </c>
      <c r="D40" s="91">
        <v>32.764000000000003</v>
      </c>
      <c r="E40" s="91">
        <v>35.375</v>
      </c>
      <c r="F40" s="91">
        <v>36.853000000000002</v>
      </c>
      <c r="G40" s="91">
        <v>38.023000000000003</v>
      </c>
      <c r="H40" s="91">
        <v>38.798000000000002</v>
      </c>
      <c r="I40" s="91">
        <v>39.442</v>
      </c>
      <c r="J40" s="91">
        <v>40.258000000000003</v>
      </c>
      <c r="K40" s="91">
        <v>41.085999999999999</v>
      </c>
      <c r="L40" s="91">
        <v>42.098999999999997</v>
      </c>
      <c r="M40" s="91">
        <v>43.470999999999997</v>
      </c>
      <c r="N40" s="90">
        <v>1995</v>
      </c>
    </row>
    <row r="41" spans="1:14" x14ac:dyDescent="0.2">
      <c r="A41" s="281">
        <v>1996</v>
      </c>
      <c r="B41" s="282">
        <v>45.033000000000001</v>
      </c>
      <c r="C41" s="282">
        <v>46.084000000000003</v>
      </c>
      <c r="D41" s="282">
        <v>47.098999999999997</v>
      </c>
      <c r="E41" s="282">
        <v>48.438000000000002</v>
      </c>
      <c r="F41" s="282">
        <v>49.320999999999998</v>
      </c>
      <c r="G41" s="282">
        <v>50.124000000000002</v>
      </c>
      <c r="H41" s="282">
        <v>50.835999999999999</v>
      </c>
      <c r="I41" s="282">
        <v>51.512</v>
      </c>
      <c r="J41" s="282">
        <v>52.335999999999999</v>
      </c>
      <c r="K41" s="282">
        <v>52.988999999999997</v>
      </c>
      <c r="L41" s="282">
        <v>53.792000000000002</v>
      </c>
      <c r="M41" s="282">
        <v>55.514000000000003</v>
      </c>
      <c r="N41" s="281">
        <v>1996</v>
      </c>
    </row>
    <row r="42" spans="1:14" x14ac:dyDescent="0.2">
      <c r="A42" s="90">
        <v>1997</v>
      </c>
      <c r="B42" s="91">
        <v>56.942</v>
      </c>
      <c r="C42" s="91">
        <v>57.898000000000003</v>
      </c>
      <c r="D42" s="91">
        <v>58.619</v>
      </c>
      <c r="E42" s="91">
        <v>59.252000000000002</v>
      </c>
      <c r="F42" s="91">
        <v>59.792999999999999</v>
      </c>
      <c r="G42" s="91">
        <v>60.323999999999998</v>
      </c>
      <c r="H42" s="91">
        <v>60.848999999999997</v>
      </c>
      <c r="I42" s="91">
        <v>61.39</v>
      </c>
      <c r="J42" s="91">
        <v>62.155000000000001</v>
      </c>
      <c r="K42" s="91">
        <v>62.652000000000001</v>
      </c>
      <c r="L42" s="91">
        <v>63.351999999999997</v>
      </c>
      <c r="M42" s="91">
        <v>64.239999999999995</v>
      </c>
      <c r="N42" s="90">
        <v>1997</v>
      </c>
    </row>
    <row r="43" spans="1:14" x14ac:dyDescent="0.2">
      <c r="A43" s="281">
        <v>1998</v>
      </c>
      <c r="B43" s="282">
        <v>65.638000000000005</v>
      </c>
      <c r="C43" s="282">
        <v>66.787000000000006</v>
      </c>
      <c r="D43" s="282">
        <v>67.569000000000003</v>
      </c>
      <c r="E43" s="282">
        <v>68.200999999999993</v>
      </c>
      <c r="F43" s="282">
        <v>68.745000000000005</v>
      </c>
      <c r="G43" s="282">
        <v>69.557000000000002</v>
      </c>
      <c r="H43" s="282">
        <v>70.227999999999994</v>
      </c>
      <c r="I43" s="282">
        <v>70.903000000000006</v>
      </c>
      <c r="J43" s="282">
        <v>72.052999999999997</v>
      </c>
      <c r="K43" s="282">
        <v>73.084999999999994</v>
      </c>
      <c r="L43" s="282">
        <v>74.38</v>
      </c>
      <c r="M43" s="282">
        <v>76.194999999999993</v>
      </c>
      <c r="N43" s="281">
        <v>1998</v>
      </c>
    </row>
    <row r="44" spans="1:14" x14ac:dyDescent="0.2">
      <c r="A44" s="90">
        <v>1999</v>
      </c>
      <c r="B44" s="91">
        <v>78.119</v>
      </c>
      <c r="C44" s="91">
        <v>79.168999999999997</v>
      </c>
      <c r="D44" s="91">
        <v>79.903999999999996</v>
      </c>
      <c r="E44" s="91">
        <v>80.637</v>
      </c>
      <c r="F44" s="91">
        <v>81.122</v>
      </c>
      <c r="G44" s="91">
        <v>81.655000000000001</v>
      </c>
      <c r="H44" s="91">
        <v>82.194999999999993</v>
      </c>
      <c r="I44" s="91">
        <v>82.658000000000001</v>
      </c>
      <c r="J44" s="91">
        <v>83.456000000000003</v>
      </c>
      <c r="K44" s="91">
        <v>83.984999999999999</v>
      </c>
      <c r="L44" s="91">
        <v>84.731999999999999</v>
      </c>
      <c r="M44" s="91">
        <v>85.581000000000003</v>
      </c>
      <c r="N44" s="90">
        <v>1999</v>
      </c>
    </row>
    <row r="45" spans="1:14" x14ac:dyDescent="0.2">
      <c r="A45" s="281">
        <v>2000</v>
      </c>
      <c r="B45" s="282">
        <v>86.73</v>
      </c>
      <c r="C45" s="282">
        <v>87.498999999999995</v>
      </c>
      <c r="D45" s="282">
        <v>87.983999999999995</v>
      </c>
      <c r="E45" s="282">
        <v>88.484999999999999</v>
      </c>
      <c r="F45" s="282">
        <v>88.816000000000003</v>
      </c>
      <c r="G45" s="282">
        <v>89.341999999999999</v>
      </c>
      <c r="H45" s="282">
        <v>89.69</v>
      </c>
      <c r="I45" s="282">
        <v>90.183000000000007</v>
      </c>
      <c r="J45" s="282">
        <v>90.841999999999999</v>
      </c>
      <c r="K45" s="282">
        <v>91.466999999999999</v>
      </c>
      <c r="L45" s="282">
        <v>92.248999999999995</v>
      </c>
      <c r="M45" s="282">
        <v>93.248000000000005</v>
      </c>
      <c r="N45" s="281">
        <v>2000</v>
      </c>
    </row>
    <row r="46" spans="1:14" x14ac:dyDescent="0.2">
      <c r="A46" s="90">
        <v>2001</v>
      </c>
      <c r="B46" s="91">
        <v>93.765000000000001</v>
      </c>
      <c r="C46" s="91">
        <v>93.703000000000003</v>
      </c>
      <c r="D46" s="91">
        <v>94.296999999999997</v>
      </c>
      <c r="E46" s="91">
        <v>94.772000000000006</v>
      </c>
      <c r="F46" s="91">
        <v>94.99</v>
      </c>
      <c r="G46" s="91">
        <v>95.215000000000003</v>
      </c>
      <c r="H46" s="91">
        <v>94.966999999999999</v>
      </c>
      <c r="I46" s="91">
        <v>95.53</v>
      </c>
      <c r="J46" s="91">
        <v>96.418999999999997</v>
      </c>
      <c r="K46" s="91">
        <v>96.855000000000004</v>
      </c>
      <c r="L46" s="91">
        <v>97.22</v>
      </c>
      <c r="M46" s="91">
        <v>97.353999999999999</v>
      </c>
      <c r="N46" s="90">
        <v>2001</v>
      </c>
    </row>
    <row r="47" spans="1:14" x14ac:dyDescent="0.2">
      <c r="A47" s="281">
        <v>2002</v>
      </c>
      <c r="B47" s="282">
        <v>98.253</v>
      </c>
      <c r="C47" s="282">
        <v>98.19</v>
      </c>
      <c r="D47" s="282">
        <v>98.691999999999993</v>
      </c>
      <c r="E47" s="282">
        <v>99.230999999999995</v>
      </c>
      <c r="F47" s="282">
        <v>99.432000000000002</v>
      </c>
      <c r="G47" s="282">
        <v>99.917000000000002</v>
      </c>
      <c r="H47" s="282">
        <v>100.20399999999999</v>
      </c>
      <c r="I47" s="282">
        <v>100.58499999999999</v>
      </c>
      <c r="J47" s="282">
        <v>101.19</v>
      </c>
      <c r="K47" s="282">
        <v>101.636</v>
      </c>
      <c r="L47" s="282">
        <v>102.458</v>
      </c>
      <c r="M47" s="282">
        <v>102.904</v>
      </c>
      <c r="N47" s="281">
        <v>2002</v>
      </c>
    </row>
    <row r="48" spans="1:14" x14ac:dyDescent="0.2">
      <c r="A48" s="90">
        <v>2003</v>
      </c>
      <c r="B48" s="91">
        <v>103.32</v>
      </c>
      <c r="C48" s="91">
        <v>103.607</v>
      </c>
      <c r="D48" s="91">
        <v>104.261</v>
      </c>
      <c r="E48" s="91">
        <v>104.43899999999999</v>
      </c>
      <c r="F48" s="91">
        <v>104.102</v>
      </c>
      <c r="G48" s="91">
        <v>104.188</v>
      </c>
      <c r="H48" s="91">
        <v>104.339</v>
      </c>
      <c r="I48" s="91">
        <v>104.652</v>
      </c>
      <c r="J48" s="285">
        <v>105.27500000000001</v>
      </c>
      <c r="K48" s="285">
        <v>105.661</v>
      </c>
      <c r="L48" s="285">
        <v>106.538</v>
      </c>
      <c r="M48" s="285">
        <v>106.996</v>
      </c>
      <c r="N48" s="90">
        <v>2003</v>
      </c>
    </row>
    <row r="49" spans="1:14" x14ac:dyDescent="0.2">
      <c r="A49" s="281">
        <v>2004</v>
      </c>
      <c r="B49" s="282">
        <v>107.661</v>
      </c>
      <c r="C49" s="282">
        <v>108.30500000000001</v>
      </c>
      <c r="D49" s="282">
        <v>108.672</v>
      </c>
      <c r="E49" s="282">
        <v>108.836</v>
      </c>
      <c r="F49" s="282">
        <v>108.563</v>
      </c>
      <c r="G49" s="284">
        <v>108.73699999999999</v>
      </c>
      <c r="H49" s="284">
        <v>109.02200000000001</v>
      </c>
      <c r="I49" s="282">
        <v>109.69499999999999</v>
      </c>
      <c r="J49" s="282">
        <v>110.602</v>
      </c>
      <c r="K49" s="282">
        <v>111.36799999999999</v>
      </c>
      <c r="L49" s="282">
        <v>112.318</v>
      </c>
      <c r="M49" s="282">
        <v>112.55</v>
      </c>
      <c r="N49" s="281">
        <v>2004</v>
      </c>
    </row>
    <row r="50" spans="1:14" x14ac:dyDescent="0.2">
      <c r="A50" s="90">
        <v>2005</v>
      </c>
      <c r="B50" s="91">
        <v>112.554</v>
      </c>
      <c r="C50" s="91">
        <v>112.929</v>
      </c>
      <c r="D50" s="91">
        <v>113.438</v>
      </c>
      <c r="E50" s="91">
        <v>113.842</v>
      </c>
      <c r="F50" s="91">
        <v>113.556</v>
      </c>
      <c r="G50" s="91">
        <v>113.447</v>
      </c>
      <c r="H50" s="91">
        <v>113.89100000000001</v>
      </c>
      <c r="I50" s="91">
        <v>114.027</v>
      </c>
      <c r="J50" s="91">
        <v>114.48399999999999</v>
      </c>
      <c r="K50" s="91">
        <v>114.765</v>
      </c>
      <c r="L50" s="91">
        <v>115.59099999999999</v>
      </c>
      <c r="M50" s="91">
        <v>116.301</v>
      </c>
      <c r="N50" s="92" t="s">
        <v>155</v>
      </c>
    </row>
    <row r="51" spans="1:14" x14ac:dyDescent="0.2">
      <c r="A51" s="281">
        <v>2006</v>
      </c>
      <c r="B51" s="282">
        <v>116.983</v>
      </c>
      <c r="C51" s="282">
        <v>117.16200000000001</v>
      </c>
      <c r="D51" s="282">
        <v>117.309</v>
      </c>
      <c r="E51" s="282">
        <v>117.48099999999999</v>
      </c>
      <c r="F51" s="282">
        <v>116.958</v>
      </c>
      <c r="G51" s="282">
        <v>117.059</v>
      </c>
      <c r="H51" s="282">
        <v>117.38</v>
      </c>
      <c r="I51" s="282">
        <v>117.979</v>
      </c>
      <c r="J51" s="282">
        <v>119.17</v>
      </c>
      <c r="K51" s="282">
        <v>119.691</v>
      </c>
      <c r="L51" s="282">
        <v>120.319</v>
      </c>
      <c r="M51" s="282">
        <v>121.015</v>
      </c>
      <c r="N51" s="283" t="s">
        <v>156</v>
      </c>
    </row>
    <row r="52" spans="1:14" x14ac:dyDescent="0.2">
      <c r="A52" s="90">
        <v>2007</v>
      </c>
      <c r="B52" s="91">
        <v>121.64</v>
      </c>
      <c r="C52" s="91">
        <v>121.98</v>
      </c>
      <c r="D52" s="91">
        <v>122.244</v>
      </c>
      <c r="E52" s="91">
        <v>122.17100000000001</v>
      </c>
      <c r="F52" s="91">
        <v>121.575</v>
      </c>
      <c r="G52" s="91">
        <v>121.721</v>
      </c>
      <c r="H52" s="91">
        <v>122.238</v>
      </c>
      <c r="I52" s="91">
        <v>123.587</v>
      </c>
      <c r="J52" s="91">
        <v>123.985</v>
      </c>
      <c r="K52" s="91">
        <v>124.458</v>
      </c>
      <c r="L52" s="91">
        <v>125.047</v>
      </c>
      <c r="M52" s="91">
        <v>125.56399999999999</v>
      </c>
      <c r="N52" s="92" t="s">
        <v>157</v>
      </c>
    </row>
    <row r="53" spans="1:14" x14ac:dyDescent="0.2">
      <c r="A53" s="90">
        <v>2008</v>
      </c>
      <c r="B53" s="91">
        <v>126.146</v>
      </c>
      <c r="C53" s="91">
        <v>126.521</v>
      </c>
      <c r="D53" s="91">
        <v>127.438</v>
      </c>
      <c r="E53" s="91">
        <v>127.72799999999999</v>
      </c>
      <c r="F53" s="91">
        <v>127.59</v>
      </c>
      <c r="G53" s="91">
        <v>128.11799999999999</v>
      </c>
      <c r="H53" s="91">
        <v>128.83199999999999</v>
      </c>
      <c r="I53" s="91">
        <v>129.57599999999999</v>
      </c>
      <c r="J53" s="91">
        <v>130.459</v>
      </c>
      <c r="K53" s="91">
        <v>131.34800000000001</v>
      </c>
      <c r="L53" s="91">
        <v>132.84100000000001</v>
      </c>
      <c r="M53" s="91">
        <v>133.761</v>
      </c>
      <c r="N53" s="92" t="s">
        <v>158</v>
      </c>
    </row>
    <row r="54" spans="1:14" x14ac:dyDescent="0.2">
      <c r="A54" s="90">
        <v>2009</v>
      </c>
      <c r="B54" s="91">
        <v>134.071</v>
      </c>
      <c r="C54" s="91">
        <v>134.36699999999999</v>
      </c>
      <c r="D54" s="91">
        <v>135.13999999999999</v>
      </c>
      <c r="E54" s="91">
        <v>135.613</v>
      </c>
      <c r="F54" s="91">
        <v>135.21799999999999</v>
      </c>
      <c r="G54" s="91">
        <v>135.46700000000001</v>
      </c>
      <c r="H54" s="91">
        <v>135.83600000000001</v>
      </c>
      <c r="I54" s="91">
        <v>136.161</v>
      </c>
      <c r="J54" s="91">
        <v>136.84399999999999</v>
      </c>
      <c r="K54" s="91">
        <v>137.25800000000001</v>
      </c>
      <c r="L54" s="91">
        <v>137.97</v>
      </c>
      <c r="M54" s="91">
        <v>138.541</v>
      </c>
      <c r="N54" s="92" t="s">
        <v>537</v>
      </c>
    </row>
    <row r="55" spans="1:14" s="93" customFormat="1" x14ac:dyDescent="0.2">
      <c r="A55" s="90">
        <v>2010</v>
      </c>
      <c r="B55" s="91">
        <v>140.047</v>
      </c>
      <c r="C55" s="91">
        <v>0</v>
      </c>
      <c r="D55" s="91">
        <v>0</v>
      </c>
      <c r="E55" s="91">
        <v>0</v>
      </c>
      <c r="F55" s="91">
        <v>0</v>
      </c>
      <c r="G55" s="91">
        <v>0</v>
      </c>
      <c r="H55" s="91">
        <v>0</v>
      </c>
      <c r="I55" s="91">
        <v>0</v>
      </c>
      <c r="J55" s="91">
        <v>0</v>
      </c>
      <c r="K55" s="91">
        <v>0</v>
      </c>
      <c r="L55" s="91">
        <v>0</v>
      </c>
      <c r="M55" s="91">
        <v>0</v>
      </c>
      <c r="N55" s="92" t="s">
        <v>601</v>
      </c>
    </row>
    <row r="56" spans="1:14" s="93" customFormat="1" x14ac:dyDescent="0.2">
      <c r="G56" s="94"/>
      <c r="N56" s="95"/>
    </row>
    <row r="57" spans="1:14" s="93" customFormat="1" x14ac:dyDescent="0.2">
      <c r="A57" s="96"/>
      <c r="L57" s="180" t="s">
        <v>246</v>
      </c>
    </row>
    <row r="58" spans="1:14" s="93" customFormat="1" x14ac:dyDescent="0.2"/>
    <row r="59" spans="1:14" s="93" customFormat="1" x14ac:dyDescent="0.2"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</row>
    <row r="60" spans="1:14" s="93" customFormat="1" x14ac:dyDescent="0.2"/>
    <row r="61" spans="1:14" s="93" customFormat="1" x14ac:dyDescent="0.2"/>
    <row r="62" spans="1:14" s="93" customFormat="1" x14ac:dyDescent="0.2"/>
    <row r="63" spans="1:14" s="93" customFormat="1" x14ac:dyDescent="0.2"/>
    <row r="64" spans="1:14" s="93" customFormat="1" x14ac:dyDescent="0.2"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6"/>
    </row>
    <row r="65" spans="8:8" s="93" customFormat="1" x14ac:dyDescent="0.2"/>
    <row r="66" spans="8:8" s="93" customFormat="1" x14ac:dyDescent="0.2"/>
    <row r="67" spans="8:8" s="93" customFormat="1" x14ac:dyDescent="0.2"/>
    <row r="68" spans="8:8" s="93" customFormat="1" x14ac:dyDescent="0.2">
      <c r="H68" s="97"/>
    </row>
    <row r="69" spans="8:8" s="93" customFormat="1" x14ac:dyDescent="0.2"/>
    <row r="70" spans="8:8" s="93" customFormat="1" x14ac:dyDescent="0.2"/>
    <row r="71" spans="8:8" s="93" customFormat="1" x14ac:dyDescent="0.2"/>
    <row r="72" spans="8:8" s="93" customFormat="1" x14ac:dyDescent="0.2"/>
    <row r="73" spans="8:8" s="93" customFormat="1" x14ac:dyDescent="0.2"/>
    <row r="74" spans="8:8" s="93" customFormat="1" x14ac:dyDescent="0.2"/>
    <row r="75" spans="8:8" s="93" customFormat="1" x14ac:dyDescent="0.2"/>
    <row r="76" spans="8:8" s="93" customFormat="1" x14ac:dyDescent="0.2"/>
    <row r="77" spans="8:8" s="93" customFormat="1" x14ac:dyDescent="0.2"/>
    <row r="78" spans="8:8" s="93" customFormat="1" x14ac:dyDescent="0.2"/>
    <row r="79" spans="8:8" s="93" customFormat="1" x14ac:dyDescent="0.2"/>
    <row r="80" spans="8:8" s="93" customFormat="1" x14ac:dyDescent="0.2"/>
    <row r="81" s="93" customFormat="1" x14ac:dyDescent="0.2"/>
    <row r="82" s="93" customFormat="1" x14ac:dyDescent="0.2"/>
    <row r="83" s="93" customFormat="1" x14ac:dyDescent="0.2"/>
    <row r="84" s="93" customFormat="1" x14ac:dyDescent="0.2"/>
    <row r="85" s="93" customFormat="1" x14ac:dyDescent="0.2"/>
    <row r="86" s="93" customFormat="1" x14ac:dyDescent="0.2"/>
    <row r="87" s="93" customFormat="1" x14ac:dyDescent="0.2"/>
    <row r="88" s="93" customFormat="1" x14ac:dyDescent="0.2"/>
    <row r="89" s="93" customFormat="1" x14ac:dyDescent="0.2"/>
    <row r="90" s="93" customFormat="1" x14ac:dyDescent="0.2"/>
  </sheetData>
  <sheetProtection password="E049" sheet="1" objects="1" scenarios="1"/>
  <phoneticPr fontId="0" type="noConversion"/>
  <conditionalFormatting sqref="B53:M53">
    <cfRule type="cellIs" dxfId="1" priority="2" stopIfTrue="1" operator="equal">
      <formula>0</formula>
    </cfRule>
  </conditionalFormatting>
  <conditionalFormatting sqref="B54:M55">
    <cfRule type="cellIs" dxfId="0" priority="1" stopIfTrue="1" operator="equal">
      <formula>0</formula>
    </cfRule>
  </conditionalFormatting>
  <hyperlinks>
    <hyperlink ref="C1" location="'Menú Principa'!A1" display="Regresar al Menú Principal"/>
    <hyperlink ref="L57" location="'Menú Principa'!A1" display="Regresar al Menú Principal"/>
  </hyperlinks>
  <pageMargins left="0.75" right="0.75" top="1" bottom="1" header="0" footer="0"/>
  <pageSetup orientation="portrait" horizontalDpi="4294967294" r:id="rId1"/>
  <headerFooter alignWithMargins="0"/>
  <ignoredErrors>
    <ignoredError sqref="N50:N5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AH56"/>
  <sheetViews>
    <sheetView showGridLines="0" showRowColHeaders="0" workbookViewId="0">
      <selection activeCell="K2" sqref="K2"/>
    </sheetView>
  </sheetViews>
  <sheetFormatPr baseColWidth="10" defaultRowHeight="12.75" x14ac:dyDescent="0.2"/>
  <cols>
    <col min="1" max="1" width="12.28515625" style="1" customWidth="1"/>
    <col min="2" max="3" width="11.42578125" style="1"/>
    <col min="4" max="4" width="2.42578125" style="1" customWidth="1"/>
    <col min="5" max="5" width="13.42578125" style="1" bestFit="1" customWidth="1"/>
    <col min="6" max="7" width="12.5703125" style="1" customWidth="1"/>
    <col min="8" max="8" width="2.42578125" style="1" customWidth="1"/>
    <col min="9" max="9" width="8" style="1" customWidth="1"/>
    <col min="10" max="19" width="11.42578125" style="1"/>
    <col min="20" max="20" width="15" style="1" customWidth="1"/>
    <col min="21" max="25" width="11.42578125" style="1"/>
    <col min="26" max="26" width="13.140625" style="1" customWidth="1"/>
    <col min="27" max="27" width="12.28515625" style="1" bestFit="1" customWidth="1"/>
    <col min="28" max="16384" width="11.42578125" style="1"/>
  </cols>
  <sheetData>
    <row r="1" spans="1:34" ht="13.5" thickBot="1" x14ac:dyDescent="0.25">
      <c r="A1" s="15" t="s">
        <v>497</v>
      </c>
    </row>
    <row r="2" spans="1:34" ht="13.5" thickBot="1" x14ac:dyDescent="0.25">
      <c r="A2" s="15" t="s">
        <v>526</v>
      </c>
      <c r="I2" s="16" t="s">
        <v>17</v>
      </c>
      <c r="J2" s="17"/>
      <c r="K2" s="423">
        <f>'Menú Principa'!E25</f>
        <v>57.46</v>
      </c>
      <c r="L2" s="37"/>
      <c r="M2" s="28"/>
      <c r="N2" s="28"/>
      <c r="O2" s="28"/>
      <c r="P2" s="28"/>
    </row>
    <row r="3" spans="1:34" x14ac:dyDescent="0.2">
      <c r="A3" s="15" t="s">
        <v>597</v>
      </c>
      <c r="E3" s="18"/>
      <c r="F3" s="59" t="s">
        <v>4</v>
      </c>
      <c r="G3" s="59" t="s">
        <v>15</v>
      </c>
      <c r="L3" s="15"/>
    </row>
    <row r="4" spans="1:34" x14ac:dyDescent="0.2">
      <c r="E4" s="58" t="s">
        <v>32</v>
      </c>
      <c r="F4" s="58" t="s">
        <v>76</v>
      </c>
      <c r="G4" s="58" t="s">
        <v>16</v>
      </c>
      <c r="S4" s="1" t="s">
        <v>18</v>
      </c>
      <c r="V4" s="1">
        <f>+K2</f>
        <v>57.46</v>
      </c>
      <c r="AA4" s="1" t="s">
        <v>8</v>
      </c>
      <c r="AC4" s="1">
        <f>+F15</f>
        <v>0</v>
      </c>
      <c r="AH4" s="25"/>
    </row>
    <row r="5" spans="1:34" x14ac:dyDescent="0.2">
      <c r="A5" s="1" t="s">
        <v>0</v>
      </c>
      <c r="D5" s="21" t="s">
        <v>47</v>
      </c>
      <c r="E5" s="366">
        <v>0</v>
      </c>
      <c r="F5" s="382">
        <f>+E5</f>
        <v>0</v>
      </c>
      <c r="G5" s="382">
        <f>+E5</f>
        <v>0</v>
      </c>
      <c r="I5" s="10"/>
      <c r="J5" s="10"/>
      <c r="K5" s="10"/>
      <c r="L5" s="10">
        <f>E5</f>
        <v>0</v>
      </c>
      <c r="M5" s="10"/>
      <c r="N5" s="10"/>
      <c r="O5" s="10"/>
      <c r="P5" s="10"/>
      <c r="S5" s="1" t="s">
        <v>19</v>
      </c>
      <c r="V5" s="1">
        <f>+V4*3</f>
        <v>172.38</v>
      </c>
      <c r="AA5" s="1" t="s">
        <v>9</v>
      </c>
      <c r="AC5" s="3" t="e">
        <f>+VLOOKUP($AC$4,Diaria,1)</f>
        <v>#N/A</v>
      </c>
      <c r="AH5" s="25"/>
    </row>
    <row r="6" spans="1:34" ht="13.5" thickBot="1" x14ac:dyDescent="0.25">
      <c r="A6" s="1" t="s">
        <v>529</v>
      </c>
      <c r="D6" s="21" t="s">
        <v>47</v>
      </c>
      <c r="E6" s="366">
        <v>0</v>
      </c>
      <c r="F6" s="382">
        <f>+E6</f>
        <v>0</v>
      </c>
      <c r="G6" s="382">
        <f>IF(E6&lt;($E$5*0.1),0,+E6-($E$5*0.1))</f>
        <v>0</v>
      </c>
      <c r="I6" s="10"/>
      <c r="J6" s="10"/>
      <c r="K6" s="72"/>
      <c r="L6" s="37"/>
      <c r="M6" s="28"/>
      <c r="N6" s="28"/>
      <c r="O6" s="28"/>
      <c r="P6" s="28"/>
      <c r="AA6" s="1" t="s">
        <v>10</v>
      </c>
      <c r="AC6" s="1" t="e">
        <f>+AC4-AC5</f>
        <v>#N/A</v>
      </c>
      <c r="AH6" s="25"/>
    </row>
    <row r="7" spans="1:34" x14ac:dyDescent="0.2">
      <c r="A7" s="1" t="s">
        <v>435</v>
      </c>
      <c r="D7" s="21" t="s">
        <v>47</v>
      </c>
      <c r="E7" s="366">
        <v>0</v>
      </c>
      <c r="F7" s="382">
        <f>+E7</f>
        <v>0</v>
      </c>
      <c r="G7" s="382">
        <f>IF(E7&lt;($E$5*0.1),0,+E7-($E$5*0.1))</f>
        <v>0</v>
      </c>
      <c r="I7" s="6" t="s">
        <v>83</v>
      </c>
      <c r="J7" s="7"/>
      <c r="K7" s="8"/>
      <c r="S7" s="1" t="s">
        <v>82</v>
      </c>
      <c r="V7" s="1">
        <f>ROUND((G15/7)*K8,2)</f>
        <v>0</v>
      </c>
      <c r="AA7" s="1" t="s">
        <v>11</v>
      </c>
      <c r="AC7" s="73" t="e">
        <f>+VLOOKUP($AC$4,Diaria,4)</f>
        <v>#N/A</v>
      </c>
      <c r="AH7" s="25"/>
    </row>
    <row r="8" spans="1:34" ht="13.5" thickBot="1" x14ac:dyDescent="0.25">
      <c r="A8" s="1" t="str">
        <f>"Despensa (No mayor de "&amp;U20&amp;" x sem. )"</f>
        <v>Despensa (No mayor de 22.98 x sem. )</v>
      </c>
      <c r="D8" s="21" t="s">
        <v>47</v>
      </c>
      <c r="E8" s="366">
        <v>0</v>
      </c>
      <c r="F8" s="77">
        <f>E8</f>
        <v>0</v>
      </c>
      <c r="G8" s="382">
        <f>IF(E8&gt;U20,E8-U20,0)</f>
        <v>0</v>
      </c>
      <c r="I8" s="12" t="s">
        <v>16</v>
      </c>
      <c r="J8" s="13"/>
      <c r="K8" s="60">
        <v>1.0451999999999999</v>
      </c>
      <c r="L8" s="37" t="s">
        <v>47</v>
      </c>
      <c r="S8" s="1" t="s">
        <v>21</v>
      </c>
      <c r="V8" s="1">
        <f>IF(V7&gt;V5,V7-V5,0)</f>
        <v>0</v>
      </c>
      <c r="AA8" s="1" t="s">
        <v>12</v>
      </c>
      <c r="AC8" s="1" t="e">
        <f>+ROUND(AC6*AC7,2)</f>
        <v>#N/A</v>
      </c>
      <c r="AH8" s="25"/>
    </row>
    <row r="9" spans="1:34" x14ac:dyDescent="0.2">
      <c r="A9" s="1" t="s">
        <v>530</v>
      </c>
      <c r="D9" s="21" t="s">
        <v>47</v>
      </c>
      <c r="E9" s="366">
        <v>0</v>
      </c>
      <c r="F9" s="382">
        <f>ROUND(E9/2,2)</f>
        <v>0</v>
      </c>
      <c r="G9" s="103">
        <v>0</v>
      </c>
      <c r="AA9" s="1" t="s">
        <v>13</v>
      </c>
      <c r="AC9" s="3" t="e">
        <f>+VLOOKUP($AC$4,Diaria,3)</f>
        <v>#N/A</v>
      </c>
      <c r="AH9" s="25"/>
    </row>
    <row r="10" spans="1:34" x14ac:dyDescent="0.2">
      <c r="A10" s="1" t="s">
        <v>531</v>
      </c>
      <c r="D10" s="21" t="s">
        <v>47</v>
      </c>
      <c r="E10" s="366">
        <v>0</v>
      </c>
      <c r="F10" s="382">
        <f>+E10</f>
        <v>0</v>
      </c>
      <c r="G10" s="382">
        <f>+E10</f>
        <v>0</v>
      </c>
      <c r="J10" s="23" t="s">
        <v>56</v>
      </c>
      <c r="S10" s="1" t="s">
        <v>20</v>
      </c>
      <c r="U10" s="2">
        <v>4.0000000000000001E-3</v>
      </c>
      <c r="V10" s="1">
        <f>IF(V8=0,0,ROUND(U10*V8,2))</f>
        <v>0</v>
      </c>
      <c r="AA10" s="10" t="s">
        <v>112</v>
      </c>
      <c r="AB10" s="10"/>
      <c r="AC10" s="10" t="e">
        <f>+AC8+AC9</f>
        <v>#N/A</v>
      </c>
      <c r="AD10" s="10"/>
      <c r="AH10" s="25"/>
    </row>
    <row r="11" spans="1:34" x14ac:dyDescent="0.2">
      <c r="A11" s="1" t="s">
        <v>532</v>
      </c>
      <c r="D11" s="21" t="s">
        <v>47</v>
      </c>
      <c r="E11" s="366">
        <v>0</v>
      </c>
      <c r="F11" s="77">
        <v>0</v>
      </c>
      <c r="G11" s="382">
        <f>+E11</f>
        <v>0</v>
      </c>
      <c r="S11" s="1" t="s">
        <v>22</v>
      </c>
      <c r="U11" s="2">
        <v>2.5000000000000001E-3</v>
      </c>
      <c r="V11" s="1">
        <f>ROUND(V7*U11,2)</f>
        <v>0</v>
      </c>
      <c r="AA11" s="10" t="s">
        <v>119</v>
      </c>
      <c r="AB11" s="10"/>
      <c r="AC11" s="10" t="e">
        <f>VLOOKUP(AC4,SaDiaria,3)</f>
        <v>#N/A</v>
      </c>
      <c r="AH11" s="25"/>
    </row>
    <row r="12" spans="1:34" x14ac:dyDescent="0.2">
      <c r="A12" s="1" t="s">
        <v>528</v>
      </c>
      <c r="D12" s="21" t="s">
        <v>47</v>
      </c>
      <c r="E12" s="366">
        <v>0</v>
      </c>
      <c r="F12" s="382">
        <f>+E12</f>
        <v>0</v>
      </c>
      <c r="G12" s="382">
        <f>+E12</f>
        <v>0</v>
      </c>
      <c r="S12" s="1" t="s">
        <v>23</v>
      </c>
      <c r="U12" s="4">
        <v>3.7499999999999999E-3</v>
      </c>
      <c r="V12" s="1">
        <f>ROUND(V7*U12,2)</f>
        <v>0</v>
      </c>
      <c r="AA12" s="10"/>
      <c r="AB12" s="10"/>
      <c r="AC12" s="74" t="e">
        <f>+AC10-AC11</f>
        <v>#N/A</v>
      </c>
      <c r="AH12" s="25"/>
    </row>
    <row r="13" spans="1:34" x14ac:dyDescent="0.2">
      <c r="A13" s="1" t="s">
        <v>117</v>
      </c>
      <c r="E13" s="382">
        <f>+AC16</f>
        <v>0</v>
      </c>
      <c r="F13" s="382">
        <v>0</v>
      </c>
      <c r="G13" s="382">
        <v>0</v>
      </c>
      <c r="S13" s="1" t="s">
        <v>24</v>
      </c>
      <c r="U13" s="4">
        <v>6.2500000000000003E-3</v>
      </c>
      <c r="V13" s="1">
        <f>ROUND(V7*U13,2)</f>
        <v>0</v>
      </c>
      <c r="AA13" s="10"/>
      <c r="AB13" s="10"/>
      <c r="AC13" s="10"/>
      <c r="AH13" s="25"/>
    </row>
    <row r="14" spans="1:34" x14ac:dyDescent="0.2">
      <c r="B14" s="1" t="s">
        <v>2</v>
      </c>
      <c r="E14" s="15"/>
      <c r="F14" s="15"/>
      <c r="G14" s="15"/>
      <c r="S14" s="1" t="s">
        <v>25</v>
      </c>
      <c r="U14" s="4">
        <v>1.125E-2</v>
      </c>
      <c r="V14" s="1">
        <f>ROUND(V7*U14,2)</f>
        <v>0</v>
      </c>
      <c r="AA14" s="10"/>
      <c r="AB14" s="10"/>
      <c r="AC14" s="10"/>
      <c r="AD14" s="10"/>
      <c r="AH14" s="25"/>
    </row>
    <row r="15" spans="1:34" x14ac:dyDescent="0.2">
      <c r="D15" s="62" t="s">
        <v>534</v>
      </c>
      <c r="E15" s="382">
        <f>SUM(E5:E14)</f>
        <v>0</v>
      </c>
      <c r="F15" s="382">
        <f>SUM(F5:F14)</f>
        <v>0</v>
      </c>
      <c r="G15" s="382">
        <f>SUM(G5:G14)</f>
        <v>0</v>
      </c>
      <c r="V15" s="1">
        <f>SUM(V10:V14)</f>
        <v>0</v>
      </c>
      <c r="AA15" s="10" t="s">
        <v>60</v>
      </c>
      <c r="AB15" s="10"/>
      <c r="AC15" s="41">
        <f>IF(AC4=0,0,IF(AC12&gt;0,AC12,0))</f>
        <v>0</v>
      </c>
      <c r="AD15" s="10"/>
      <c r="AG15" s="25"/>
      <c r="AH15" s="25"/>
    </row>
    <row r="16" spans="1:34" x14ac:dyDescent="0.2">
      <c r="E16" s="15"/>
      <c r="V16" s="5">
        <v>1</v>
      </c>
      <c r="W16" s="1" t="s">
        <v>535</v>
      </c>
      <c r="AA16" s="10" t="s">
        <v>120</v>
      </c>
      <c r="AB16" s="10"/>
      <c r="AC16" s="41">
        <f>IF(AC4=0,0,IF(AC12&lt;0,AC12*-1,0))</f>
        <v>0</v>
      </c>
      <c r="AD16" s="10"/>
      <c r="AG16" s="25"/>
      <c r="AH16" s="25"/>
    </row>
    <row r="17" spans="1:30" x14ac:dyDescent="0.2">
      <c r="A17" s="1" t="s">
        <v>5</v>
      </c>
      <c r="E17" s="382">
        <f>+V17</f>
        <v>0</v>
      </c>
      <c r="V17" s="1">
        <f>ROUND(V15*V16,2)</f>
        <v>0</v>
      </c>
      <c r="AD17" s="10"/>
    </row>
    <row r="18" spans="1:30" ht="13.5" thickBot="1" x14ac:dyDescent="0.25">
      <c r="A18" s="1" t="s">
        <v>89</v>
      </c>
      <c r="E18" s="382">
        <f>+AC15</f>
        <v>0</v>
      </c>
      <c r="L18" s="10"/>
      <c r="M18" s="10"/>
      <c r="N18" s="10"/>
      <c r="O18" s="10"/>
      <c r="P18" s="10"/>
      <c r="S18" s="15" t="s">
        <v>38</v>
      </c>
      <c r="AC18" s="10"/>
    </row>
    <row r="19" spans="1:30" ht="13.5" thickBot="1" x14ac:dyDescent="0.25">
      <c r="D19" s="62" t="s">
        <v>7</v>
      </c>
      <c r="E19" s="382">
        <f>SUM(E17:E18)</f>
        <v>0</v>
      </c>
      <c r="G19" s="548" t="s">
        <v>100</v>
      </c>
      <c r="H19" s="549"/>
      <c r="I19" s="549"/>
      <c r="J19" s="549"/>
      <c r="K19" s="550"/>
      <c r="L19" s="10"/>
      <c r="M19" s="10"/>
      <c r="N19" s="10"/>
      <c r="O19" s="10"/>
      <c r="P19" s="10"/>
      <c r="S19" s="1" t="s">
        <v>42</v>
      </c>
      <c r="U19" s="1">
        <f>+ROUND(K2*0.4,2)</f>
        <v>22.98</v>
      </c>
      <c r="AC19" s="10"/>
    </row>
    <row r="20" spans="1:30" ht="13.5" thickBot="1" x14ac:dyDescent="0.25">
      <c r="E20" s="383"/>
      <c r="G20" s="6" t="s">
        <v>27</v>
      </c>
      <c r="H20" s="7"/>
      <c r="I20" s="7"/>
      <c r="J20" s="7"/>
      <c r="K20" s="8"/>
      <c r="L20" s="10"/>
      <c r="M20" s="10"/>
      <c r="N20" s="10"/>
      <c r="O20" s="10"/>
      <c r="P20" s="10"/>
      <c r="S20" s="1" t="s">
        <v>234</v>
      </c>
      <c r="U20" s="1">
        <f>U19</f>
        <v>22.98</v>
      </c>
      <c r="AC20" s="10"/>
    </row>
    <row r="21" spans="1:30" ht="13.5" thickBot="1" x14ac:dyDescent="0.25">
      <c r="D21" s="62" t="s">
        <v>33</v>
      </c>
      <c r="E21" s="384">
        <f>+E15-E19</f>
        <v>0</v>
      </c>
      <c r="G21" s="9" t="s">
        <v>28</v>
      </c>
      <c r="H21" s="10"/>
      <c r="I21" s="10"/>
      <c r="J21" s="10"/>
      <c r="K21" s="11"/>
      <c r="L21" s="10"/>
      <c r="M21" s="10"/>
      <c r="N21" s="10"/>
      <c r="O21" s="10"/>
      <c r="P21" s="10"/>
      <c r="AC21" s="10"/>
    </row>
    <row r="22" spans="1:30" x14ac:dyDescent="0.2">
      <c r="E22" s="383"/>
      <c r="G22" s="9" t="s">
        <v>29</v>
      </c>
      <c r="H22" s="10"/>
      <c r="J22" s="19" t="s">
        <v>442</v>
      </c>
      <c r="K22" s="11"/>
      <c r="L22" s="10"/>
      <c r="M22" s="10"/>
      <c r="N22" s="10"/>
      <c r="O22" s="10"/>
      <c r="P22" s="10"/>
      <c r="AC22" s="10"/>
    </row>
    <row r="23" spans="1:30" x14ac:dyDescent="0.2">
      <c r="A23" s="10"/>
      <c r="B23" s="10"/>
      <c r="C23" s="10"/>
      <c r="D23" s="10"/>
      <c r="E23" s="385"/>
      <c r="G23" s="9" t="s">
        <v>30</v>
      </c>
      <c r="H23" s="10"/>
      <c r="J23" s="20" t="s">
        <v>36</v>
      </c>
      <c r="K23" s="11"/>
      <c r="AC23" s="10"/>
    </row>
    <row r="24" spans="1:30" ht="13.5" thickBot="1" x14ac:dyDescent="0.25">
      <c r="A24" s="10" t="s">
        <v>118</v>
      </c>
      <c r="B24" s="10"/>
      <c r="C24" s="10"/>
      <c r="D24" s="10"/>
      <c r="E24" s="382">
        <f>IF(F15=0,0,AC11)</f>
        <v>0</v>
      </c>
      <c r="G24" s="12" t="s">
        <v>121</v>
      </c>
      <c r="H24" s="13"/>
      <c r="I24" s="13"/>
      <c r="J24" s="13" t="s">
        <v>443</v>
      </c>
      <c r="K24" s="14"/>
      <c r="AC24" s="10"/>
    </row>
    <row r="25" spans="1:30" x14ac:dyDescent="0.2">
      <c r="A25" s="10" t="s">
        <v>90</v>
      </c>
      <c r="B25" s="10"/>
      <c r="C25" s="10"/>
      <c r="D25" s="10"/>
      <c r="E25" s="382">
        <f>IF(F15=0,0,AC10)</f>
        <v>0</v>
      </c>
      <c r="AC25" s="10"/>
    </row>
    <row r="26" spans="1:30" x14ac:dyDescent="0.2">
      <c r="E26" s="67"/>
      <c r="AC26" s="10"/>
    </row>
    <row r="27" spans="1:30" x14ac:dyDescent="0.2">
      <c r="E27" s="67"/>
      <c r="AC27" s="10"/>
    </row>
    <row r="28" spans="1:30" x14ac:dyDescent="0.2">
      <c r="E28" s="67"/>
      <c r="AC28" s="10"/>
    </row>
    <row r="29" spans="1:30" x14ac:dyDescent="0.2">
      <c r="E29" s="15"/>
      <c r="AC29" s="10"/>
    </row>
    <row r="30" spans="1:30" x14ac:dyDescent="0.2">
      <c r="AC30" s="10"/>
    </row>
    <row r="31" spans="1:30" x14ac:dyDescent="0.2">
      <c r="AB31" s="10"/>
      <c r="AC31" s="10"/>
    </row>
    <row r="32" spans="1:30" x14ac:dyDescent="0.2">
      <c r="AB32" s="10"/>
      <c r="AC32" s="10"/>
    </row>
    <row r="33" spans="25:29" x14ac:dyDescent="0.2">
      <c r="Y33" s="10"/>
      <c r="Z33" s="10"/>
      <c r="AA33" s="10"/>
      <c r="AB33" s="10"/>
      <c r="AC33" s="10"/>
    </row>
    <row r="34" spans="25:29" x14ac:dyDescent="0.2">
      <c r="Y34" s="10"/>
      <c r="Z34" s="10"/>
      <c r="AA34" s="10"/>
      <c r="AB34" s="10"/>
      <c r="AC34" s="10"/>
    </row>
    <row r="35" spans="25:29" x14ac:dyDescent="0.2">
      <c r="Y35" s="10"/>
      <c r="Z35" s="10"/>
      <c r="AA35" s="10"/>
      <c r="AB35" s="10"/>
      <c r="AC35" s="10"/>
    </row>
    <row r="36" spans="25:29" x14ac:dyDescent="0.2">
      <c r="Y36" s="10"/>
      <c r="Z36" s="10"/>
      <c r="AA36" s="10"/>
      <c r="AB36" s="10"/>
      <c r="AC36" s="10"/>
    </row>
    <row r="37" spans="25:29" x14ac:dyDescent="0.2">
      <c r="Y37" s="10"/>
      <c r="Z37" s="10"/>
      <c r="AA37" s="10"/>
      <c r="AB37" s="10"/>
      <c r="AC37" s="10"/>
    </row>
    <row r="38" spans="25:29" x14ac:dyDescent="0.2">
      <c r="Y38" s="10"/>
      <c r="Z38" s="10"/>
      <c r="AA38" s="10"/>
      <c r="AB38" s="10"/>
      <c r="AC38" s="10"/>
    </row>
    <row r="39" spans="25:29" x14ac:dyDescent="0.2">
      <c r="Y39" s="10"/>
      <c r="Z39" s="10"/>
      <c r="AA39" s="10"/>
      <c r="AB39" s="10"/>
      <c r="AC39" s="10"/>
    </row>
    <row r="40" spans="25:29" x14ac:dyDescent="0.2">
      <c r="Y40" s="10"/>
      <c r="Z40" s="10"/>
      <c r="AA40" s="10"/>
      <c r="AB40" s="10"/>
      <c r="AC40" s="10"/>
    </row>
    <row r="41" spans="25:29" x14ac:dyDescent="0.2">
      <c r="Y41" s="10"/>
      <c r="Z41" s="10"/>
      <c r="AA41" s="10"/>
      <c r="AB41" s="10"/>
      <c r="AC41" s="10"/>
    </row>
    <row r="42" spans="25:29" x14ac:dyDescent="0.2">
      <c r="Y42" s="10"/>
      <c r="Z42" s="10"/>
      <c r="AA42" s="10"/>
      <c r="AB42" s="10"/>
      <c r="AC42" s="10"/>
    </row>
    <row r="43" spans="25:29" x14ac:dyDescent="0.2">
      <c r="Y43" s="10"/>
      <c r="Z43" s="10"/>
      <c r="AA43" s="10"/>
      <c r="AB43" s="10"/>
      <c r="AC43" s="10"/>
    </row>
    <row r="44" spans="25:29" x14ac:dyDescent="0.2">
      <c r="Y44" s="10"/>
      <c r="Z44" s="10"/>
      <c r="AA44" s="10"/>
      <c r="AB44" s="10"/>
      <c r="AC44" s="10"/>
    </row>
    <row r="45" spans="25:29" x14ac:dyDescent="0.2">
      <c r="Y45" s="10"/>
      <c r="Z45" s="10"/>
      <c r="AA45" s="10"/>
      <c r="AB45" s="10"/>
      <c r="AC45" s="10"/>
    </row>
    <row r="46" spans="25:29" x14ac:dyDescent="0.2">
      <c r="Y46" s="10"/>
      <c r="Z46" s="10"/>
      <c r="AA46" s="10"/>
      <c r="AB46" s="10"/>
      <c r="AC46" s="10"/>
    </row>
    <row r="47" spans="25:29" x14ac:dyDescent="0.2">
      <c r="Y47" s="10"/>
      <c r="Z47" s="10"/>
      <c r="AA47" s="10"/>
      <c r="AB47" s="10"/>
      <c r="AC47" s="10"/>
    </row>
    <row r="48" spans="25:29" x14ac:dyDescent="0.2">
      <c r="Y48" s="10"/>
      <c r="Z48" s="10"/>
      <c r="AA48" s="10"/>
      <c r="AB48" s="10"/>
      <c r="AC48" s="10"/>
    </row>
    <row r="49" spans="25:29" x14ac:dyDescent="0.2">
      <c r="Y49" s="10"/>
      <c r="Z49" s="10"/>
      <c r="AA49" s="10"/>
      <c r="AB49" s="10"/>
      <c r="AC49" s="10"/>
    </row>
    <row r="50" spans="25:29" x14ac:dyDescent="0.2">
      <c r="Y50" s="10"/>
      <c r="Z50" s="10"/>
      <c r="AA50" s="10"/>
      <c r="AB50" s="10"/>
      <c r="AC50" s="10"/>
    </row>
    <row r="51" spans="25:29" x14ac:dyDescent="0.2">
      <c r="Y51" s="10"/>
      <c r="Z51" s="10"/>
      <c r="AA51" s="10"/>
      <c r="AB51" s="10"/>
      <c r="AC51" s="10"/>
    </row>
    <row r="52" spans="25:29" x14ac:dyDescent="0.2">
      <c r="Y52" s="10"/>
      <c r="Z52" s="10"/>
      <c r="AA52" s="10"/>
      <c r="AB52" s="10"/>
      <c r="AC52" s="10"/>
    </row>
    <row r="53" spans="25:29" x14ac:dyDescent="0.2">
      <c r="Y53" s="10"/>
      <c r="Z53" s="10"/>
      <c r="AA53" s="10"/>
      <c r="AB53" s="10"/>
      <c r="AC53" s="10"/>
    </row>
    <row r="54" spans="25:29" x14ac:dyDescent="0.2">
      <c r="Y54" s="10"/>
      <c r="Z54" s="10"/>
      <c r="AA54" s="10"/>
      <c r="AB54" s="10"/>
      <c r="AC54" s="10"/>
    </row>
    <row r="55" spans="25:29" x14ac:dyDescent="0.2">
      <c r="Y55" s="10"/>
      <c r="Z55" s="10"/>
      <c r="AA55" s="10"/>
      <c r="AB55" s="10"/>
      <c r="AC55" s="10"/>
    </row>
    <row r="56" spans="25:29" x14ac:dyDescent="0.2">
      <c r="Y56" s="10"/>
      <c r="Z56" s="10"/>
      <c r="AA56" s="10"/>
      <c r="AB56" s="10"/>
      <c r="AC56" s="10"/>
    </row>
  </sheetData>
  <mergeCells count="1">
    <mergeCell ref="G19:K19"/>
  </mergeCells>
  <phoneticPr fontId="46" type="noConversion"/>
  <hyperlinks>
    <hyperlink ref="J10" location="'Menú Principa'!A1" display="Regresa al Menú Principal"/>
  </hyperlinks>
  <pageMargins left="0.7" right="0.7" top="0.75" bottom="0.75" header="0.3" footer="0.3"/>
  <pageSetup paperSize="9" orientation="portrait" horizontalDpi="300" verticalDpi="300" r:id="rId1"/>
  <ignoredErrors>
    <ignoredError sqref="K2" unlockedFormula="1"/>
    <ignoredError sqref="AC5:AC12" evalError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A1:BH81"/>
  <sheetViews>
    <sheetView showGridLines="0" showRowColHeaders="0" workbookViewId="0">
      <selection activeCell="E2" sqref="E2"/>
    </sheetView>
  </sheetViews>
  <sheetFormatPr baseColWidth="10" defaultRowHeight="12.75" x14ac:dyDescent="0.2"/>
  <cols>
    <col min="2" max="2" width="12.85546875" bestFit="1" customWidth="1"/>
    <col min="8" max="8" width="12.85546875" bestFit="1" customWidth="1"/>
    <col min="12" max="12" width="12.85546875" bestFit="1" customWidth="1"/>
    <col min="18" max="18" width="12.85546875" bestFit="1" customWidth="1"/>
  </cols>
  <sheetData>
    <row r="1" spans="1:19" ht="18" x14ac:dyDescent="0.25">
      <c r="A1" s="412" t="s">
        <v>522</v>
      </c>
    </row>
    <row r="2" spans="1:19" x14ac:dyDescent="0.2">
      <c r="A2" s="470" t="str">
        <f>Ietu!A3</f>
        <v>Ejercicio Fiscal de 2010</v>
      </c>
      <c r="E2" s="155" t="s">
        <v>523</v>
      </c>
    </row>
    <row r="5" spans="1:19" x14ac:dyDescent="0.2">
      <c r="A5" s="1" t="s">
        <v>99</v>
      </c>
      <c r="B5" s="1"/>
      <c r="C5" s="1"/>
      <c r="D5" s="1"/>
      <c r="E5" s="1"/>
      <c r="F5" s="1"/>
      <c r="G5" s="1"/>
      <c r="H5" s="1"/>
      <c r="I5" s="1"/>
      <c r="K5" s="371" t="s">
        <v>533</v>
      </c>
    </row>
    <row r="6" spans="1:19" x14ac:dyDescent="0.2">
      <c r="A6" s="10"/>
      <c r="B6" s="10"/>
      <c r="C6" s="10"/>
      <c r="D6" s="10"/>
      <c r="E6" s="1"/>
      <c r="F6" s="1"/>
      <c r="G6" s="10"/>
      <c r="H6" s="10"/>
      <c r="I6" s="10"/>
      <c r="K6" s="49"/>
      <c r="L6" s="49"/>
      <c r="M6" s="49"/>
      <c r="N6" s="49"/>
      <c r="O6" s="49"/>
      <c r="Q6" s="49"/>
      <c r="R6" s="49"/>
      <c r="S6" s="49"/>
    </row>
    <row r="7" spans="1:19" x14ac:dyDescent="0.2">
      <c r="A7" s="515">
        <v>0.01</v>
      </c>
      <c r="B7" s="515">
        <v>114.24</v>
      </c>
      <c r="C7" s="515">
        <v>0</v>
      </c>
      <c r="D7" s="519">
        <v>1.9199999999999998E-2</v>
      </c>
      <c r="E7" s="26"/>
      <c r="F7" s="25"/>
      <c r="G7" s="520">
        <v>0.01</v>
      </c>
      <c r="H7" s="520">
        <v>407.33</v>
      </c>
      <c r="I7" s="520">
        <v>93.73</v>
      </c>
      <c r="K7" s="515">
        <v>0.01</v>
      </c>
      <c r="L7" s="515">
        <v>16.32</v>
      </c>
      <c r="M7" s="515">
        <v>0</v>
      </c>
      <c r="N7" s="519">
        <v>1.9199999999999998E-2</v>
      </c>
      <c r="O7" s="518"/>
      <c r="Q7" s="520">
        <v>0.01</v>
      </c>
      <c r="R7" s="520">
        <v>58.19</v>
      </c>
      <c r="S7" s="520">
        <v>13.39</v>
      </c>
    </row>
    <row r="8" spans="1:19" x14ac:dyDescent="0.2">
      <c r="A8" s="515">
        <v>114.25</v>
      </c>
      <c r="B8" s="515">
        <v>969.5</v>
      </c>
      <c r="C8" s="515">
        <v>2.17</v>
      </c>
      <c r="D8" s="519">
        <v>6.4000000000000001E-2</v>
      </c>
      <c r="E8" s="26"/>
      <c r="F8" s="25"/>
      <c r="G8" s="520">
        <v>407.34</v>
      </c>
      <c r="H8" s="520">
        <v>610.96</v>
      </c>
      <c r="I8" s="520">
        <v>93.66</v>
      </c>
      <c r="K8" s="515">
        <v>16.329999999999998</v>
      </c>
      <c r="L8" s="515">
        <v>138.5</v>
      </c>
      <c r="M8" s="515">
        <v>0.31</v>
      </c>
      <c r="N8" s="519">
        <v>6.4000000000000001E-2</v>
      </c>
      <c r="O8" s="518"/>
      <c r="Q8" s="520">
        <v>58.2</v>
      </c>
      <c r="R8" s="520">
        <v>87.28</v>
      </c>
      <c r="S8" s="520">
        <v>13.38</v>
      </c>
    </row>
    <row r="9" spans="1:19" x14ac:dyDescent="0.2">
      <c r="A9" s="515">
        <v>969.51</v>
      </c>
      <c r="B9" s="517">
        <v>1703.8</v>
      </c>
      <c r="C9" s="515">
        <v>56.91</v>
      </c>
      <c r="D9" s="519">
        <v>0.10880000000000001</v>
      </c>
      <c r="E9" s="26"/>
      <c r="F9" s="25"/>
      <c r="G9" s="520">
        <v>610.97</v>
      </c>
      <c r="H9" s="520">
        <v>799.68</v>
      </c>
      <c r="I9" s="520">
        <v>93.66</v>
      </c>
      <c r="K9" s="515">
        <v>138.51</v>
      </c>
      <c r="L9" s="515">
        <v>243.4</v>
      </c>
      <c r="M9" s="515">
        <v>8.1300000000000008</v>
      </c>
      <c r="N9" s="519">
        <v>0.10880000000000001</v>
      </c>
      <c r="O9" s="518"/>
      <c r="Q9" s="520">
        <v>87.29</v>
      </c>
      <c r="R9" s="520">
        <v>114.24</v>
      </c>
      <c r="S9" s="520">
        <v>13.38</v>
      </c>
    </row>
    <row r="10" spans="1:19" x14ac:dyDescent="0.2">
      <c r="A10" s="517">
        <v>1703.81</v>
      </c>
      <c r="B10" s="517">
        <v>1980.58</v>
      </c>
      <c r="C10" s="515">
        <v>136.85</v>
      </c>
      <c r="D10" s="519">
        <v>0.16</v>
      </c>
      <c r="E10" s="26"/>
      <c r="F10" s="25"/>
      <c r="G10" s="520">
        <v>799.69</v>
      </c>
      <c r="H10" s="520">
        <v>814.66</v>
      </c>
      <c r="I10" s="520">
        <v>90.44</v>
      </c>
      <c r="K10" s="515">
        <v>243.41</v>
      </c>
      <c r="L10" s="515">
        <v>282.94</v>
      </c>
      <c r="M10" s="515">
        <v>19.55</v>
      </c>
      <c r="N10" s="519">
        <v>0.16</v>
      </c>
      <c r="O10" s="518"/>
      <c r="Q10" s="520">
        <v>114.25</v>
      </c>
      <c r="R10" s="520">
        <v>116.38</v>
      </c>
      <c r="S10" s="520">
        <v>12.92</v>
      </c>
    </row>
    <row r="11" spans="1:19" x14ac:dyDescent="0.2">
      <c r="A11" s="517">
        <v>1980.59</v>
      </c>
      <c r="B11" s="517">
        <v>2371.3200000000002</v>
      </c>
      <c r="C11" s="515">
        <v>181.09</v>
      </c>
      <c r="D11" s="519">
        <v>0.17920000000000003</v>
      </c>
      <c r="E11" s="26"/>
      <c r="F11" s="25"/>
      <c r="G11" s="520">
        <v>814.67</v>
      </c>
      <c r="H11" s="521">
        <v>1023.75</v>
      </c>
      <c r="I11" s="520">
        <v>88.06</v>
      </c>
      <c r="K11" s="515">
        <v>282.95</v>
      </c>
      <c r="L11" s="515">
        <v>338.76</v>
      </c>
      <c r="M11" s="515">
        <v>25.87</v>
      </c>
      <c r="N11" s="519">
        <v>0.17920000000000003</v>
      </c>
      <c r="O11" s="518"/>
      <c r="Q11" s="520">
        <v>116.39</v>
      </c>
      <c r="R11" s="520">
        <v>146.25</v>
      </c>
      <c r="S11" s="520">
        <v>12.58</v>
      </c>
    </row>
    <row r="12" spans="1:19" x14ac:dyDescent="0.2">
      <c r="A12" s="517">
        <v>2371.33</v>
      </c>
      <c r="B12" s="517">
        <v>4782.6099999999997</v>
      </c>
      <c r="C12" s="515">
        <v>251.16</v>
      </c>
      <c r="D12" s="519">
        <v>0.21359999999999998</v>
      </c>
      <c r="E12" s="26"/>
      <c r="F12" s="25"/>
      <c r="G12" s="521">
        <v>1023.76</v>
      </c>
      <c r="H12" s="521">
        <v>1086.19</v>
      </c>
      <c r="I12" s="520">
        <v>81.55</v>
      </c>
      <c r="K12" s="515">
        <v>338.77</v>
      </c>
      <c r="L12" s="515">
        <v>683.23</v>
      </c>
      <c r="M12" s="515">
        <v>35.880000000000003</v>
      </c>
      <c r="N12" s="519">
        <v>0.21359999999999998</v>
      </c>
      <c r="O12" s="518"/>
      <c r="Q12" s="520">
        <v>146.26</v>
      </c>
      <c r="R12" s="520">
        <v>155.16999999999999</v>
      </c>
      <c r="S12" s="520">
        <v>11.65</v>
      </c>
    </row>
    <row r="13" spans="1:19" x14ac:dyDescent="0.2">
      <c r="A13" s="517">
        <v>4782.62</v>
      </c>
      <c r="B13" s="517">
        <v>7538.09</v>
      </c>
      <c r="C13" s="515">
        <v>766.15</v>
      </c>
      <c r="D13" s="519">
        <v>0.23519999999999999</v>
      </c>
      <c r="E13" s="26"/>
      <c r="F13" s="25"/>
      <c r="G13" s="521">
        <v>1086.2</v>
      </c>
      <c r="H13" s="521">
        <v>1228.57</v>
      </c>
      <c r="I13" s="520">
        <v>74.83</v>
      </c>
      <c r="K13" s="515">
        <v>683.24</v>
      </c>
      <c r="L13" s="517">
        <v>1076.8699999999999</v>
      </c>
      <c r="M13" s="515">
        <v>109.45</v>
      </c>
      <c r="N13" s="519">
        <v>0.23519999999999999</v>
      </c>
      <c r="O13" s="518"/>
      <c r="Q13" s="520">
        <v>155.18</v>
      </c>
      <c r="R13" s="520">
        <v>175.51</v>
      </c>
      <c r="S13" s="520">
        <v>10.69</v>
      </c>
    </row>
    <row r="14" spans="1:19" x14ac:dyDescent="0.2">
      <c r="A14" s="517">
        <v>7538.1</v>
      </c>
      <c r="B14" s="515" t="s">
        <v>594</v>
      </c>
      <c r="C14" s="517">
        <v>1414.28</v>
      </c>
      <c r="D14" s="519">
        <v>0.3</v>
      </c>
      <c r="E14" s="26"/>
      <c r="F14" s="25"/>
      <c r="G14" s="521">
        <v>1228.58</v>
      </c>
      <c r="H14" s="521">
        <v>1433.32</v>
      </c>
      <c r="I14" s="520">
        <v>67.83</v>
      </c>
      <c r="K14" s="517">
        <v>1076.8800000000001</v>
      </c>
      <c r="L14" s="516">
        <v>9999999</v>
      </c>
      <c r="M14" s="515">
        <v>202.04</v>
      </c>
      <c r="N14" s="519">
        <v>0.3</v>
      </c>
      <c r="O14" s="518"/>
      <c r="Q14" s="520">
        <v>175.52</v>
      </c>
      <c r="R14" s="520">
        <v>204.76</v>
      </c>
      <c r="S14" s="520">
        <v>9.69</v>
      </c>
    </row>
    <row r="15" spans="1:19" x14ac:dyDescent="0.2">
      <c r="A15" s="10"/>
      <c r="B15" s="10"/>
      <c r="C15" s="518"/>
      <c r="D15" s="10"/>
      <c r="E15" s="1"/>
      <c r="F15" s="1"/>
      <c r="G15" s="521">
        <v>1433.33</v>
      </c>
      <c r="H15" s="521">
        <v>1638.07</v>
      </c>
      <c r="I15" s="520">
        <v>58.38</v>
      </c>
      <c r="K15" s="49"/>
      <c r="L15" s="49"/>
      <c r="M15" s="49"/>
      <c r="N15" s="49"/>
      <c r="O15" s="49"/>
      <c r="Q15" s="520">
        <v>204.77</v>
      </c>
      <c r="R15" s="520">
        <v>234.01</v>
      </c>
      <c r="S15" s="520">
        <v>8.34</v>
      </c>
    </row>
    <row r="16" spans="1:19" x14ac:dyDescent="0.2">
      <c r="A16" s="1"/>
      <c r="B16" s="1"/>
      <c r="C16" s="2"/>
      <c r="D16" s="1"/>
      <c r="E16" s="1"/>
      <c r="F16" s="1"/>
      <c r="G16" s="521">
        <v>1638.08</v>
      </c>
      <c r="H16" s="521">
        <v>1699.88</v>
      </c>
      <c r="I16" s="520">
        <v>50.12</v>
      </c>
      <c r="K16" s="49"/>
      <c r="L16" s="49"/>
      <c r="M16" s="49"/>
      <c r="N16" s="49"/>
      <c r="O16" s="49"/>
      <c r="Q16" s="520">
        <v>234.02</v>
      </c>
      <c r="R16" s="520">
        <v>242.84</v>
      </c>
      <c r="S16" s="520">
        <v>7.16</v>
      </c>
    </row>
    <row r="17" spans="1:19" x14ac:dyDescent="0.2">
      <c r="A17" s="1"/>
      <c r="B17" s="1"/>
      <c r="C17" s="1"/>
      <c r="D17" s="1"/>
      <c r="E17" s="1"/>
      <c r="F17" s="1"/>
      <c r="G17" s="521">
        <v>1699.89</v>
      </c>
      <c r="H17" s="522">
        <v>9999999</v>
      </c>
      <c r="I17" s="520">
        <v>0</v>
      </c>
      <c r="Q17" s="520">
        <v>242.85</v>
      </c>
      <c r="R17" s="522">
        <v>9999999</v>
      </c>
      <c r="S17" s="520">
        <v>0</v>
      </c>
    </row>
    <row r="18" spans="1:19" x14ac:dyDescent="0.2">
      <c r="G18" s="49"/>
      <c r="H18" s="49"/>
      <c r="I18" s="49"/>
      <c r="Q18" s="49"/>
      <c r="R18" s="49"/>
      <c r="S18" s="49"/>
    </row>
    <row r="19" spans="1:19" x14ac:dyDescent="0.2">
      <c r="Q19" s="49"/>
      <c r="R19" s="49"/>
      <c r="S19" s="49"/>
    </row>
    <row r="21" spans="1:19" x14ac:dyDescent="0.2">
      <c r="A21" s="1" t="s">
        <v>46</v>
      </c>
      <c r="B21" s="1"/>
      <c r="C21" s="1"/>
      <c r="D21" s="1"/>
      <c r="E21" s="1"/>
      <c r="F21" s="1"/>
      <c r="G21" s="1"/>
      <c r="H21" s="1"/>
      <c r="I21" s="1"/>
    </row>
    <row r="22" spans="1:19" x14ac:dyDescent="0.2">
      <c r="A22" s="10"/>
      <c r="B22" s="10"/>
      <c r="C22" s="10"/>
      <c r="D22" s="10"/>
      <c r="E22" s="1"/>
      <c r="F22" s="1"/>
      <c r="G22" s="1"/>
      <c r="H22" s="1"/>
      <c r="I22" s="1"/>
    </row>
    <row r="23" spans="1:19" x14ac:dyDescent="0.2">
      <c r="A23" s="515">
        <v>0.01</v>
      </c>
      <c r="B23" s="515">
        <v>244.8</v>
      </c>
      <c r="C23" s="515">
        <v>0</v>
      </c>
      <c r="D23" s="519">
        <v>1.9199999999999998E-2</v>
      </c>
      <c r="E23" s="25"/>
      <c r="F23" s="25"/>
      <c r="G23" s="520">
        <v>0.01</v>
      </c>
      <c r="H23" s="520">
        <v>872.85</v>
      </c>
      <c r="I23" s="520">
        <v>200.85</v>
      </c>
    </row>
    <row r="24" spans="1:19" x14ac:dyDescent="0.2">
      <c r="A24" s="515">
        <v>244.81</v>
      </c>
      <c r="B24" s="517">
        <v>2077.5</v>
      </c>
      <c r="C24" s="515">
        <v>4.6500000000000004</v>
      </c>
      <c r="D24" s="519">
        <v>6.4000000000000001E-2</v>
      </c>
      <c r="E24" s="25"/>
      <c r="F24" s="25"/>
      <c r="G24" s="520">
        <v>872.86</v>
      </c>
      <c r="H24" s="521">
        <v>1309.2</v>
      </c>
      <c r="I24" s="520">
        <v>200.7</v>
      </c>
    </row>
    <row r="25" spans="1:19" x14ac:dyDescent="0.2">
      <c r="A25" s="517">
        <v>2077.5100000000002</v>
      </c>
      <c r="B25" s="517">
        <v>3651</v>
      </c>
      <c r="C25" s="515">
        <v>121.95</v>
      </c>
      <c r="D25" s="519">
        <v>0.10880000000000001</v>
      </c>
      <c r="E25" s="25"/>
      <c r="F25" s="25"/>
      <c r="G25" s="521">
        <v>1309.21</v>
      </c>
      <c r="H25" s="521">
        <v>1713.6</v>
      </c>
      <c r="I25" s="520">
        <v>200.7</v>
      </c>
    </row>
    <row r="26" spans="1:19" x14ac:dyDescent="0.2">
      <c r="A26" s="517">
        <v>3651.01</v>
      </c>
      <c r="B26" s="517">
        <v>4244.1000000000004</v>
      </c>
      <c r="C26" s="515">
        <v>293.25</v>
      </c>
      <c r="D26" s="519">
        <v>0.16</v>
      </c>
      <c r="E26" s="25"/>
      <c r="F26" s="25"/>
      <c r="G26" s="521">
        <v>1713.61</v>
      </c>
      <c r="H26" s="521">
        <v>1745.7</v>
      </c>
      <c r="I26" s="520">
        <v>193.8</v>
      </c>
    </row>
    <row r="27" spans="1:19" x14ac:dyDescent="0.2">
      <c r="A27" s="517">
        <v>4244.1099999999997</v>
      </c>
      <c r="B27" s="517">
        <v>5081.3999999999996</v>
      </c>
      <c r="C27" s="515">
        <v>388.05</v>
      </c>
      <c r="D27" s="519">
        <v>0.17920000000000003</v>
      </c>
      <c r="E27" s="25"/>
      <c r="F27" s="25"/>
      <c r="G27" s="521">
        <v>1745.71</v>
      </c>
      <c r="H27" s="521">
        <v>2193.75</v>
      </c>
      <c r="I27" s="520">
        <v>188.7</v>
      </c>
    </row>
    <row r="28" spans="1:19" x14ac:dyDescent="0.2">
      <c r="A28" s="517">
        <v>5081.41</v>
      </c>
      <c r="B28" s="517">
        <v>10248.450000000001</v>
      </c>
      <c r="C28" s="515">
        <v>538.20000000000005</v>
      </c>
      <c r="D28" s="519">
        <v>0.21359999999999998</v>
      </c>
      <c r="E28" s="25"/>
      <c r="F28" s="25"/>
      <c r="G28" s="521">
        <v>2193.7600000000002</v>
      </c>
      <c r="H28" s="521">
        <v>2327.5500000000002</v>
      </c>
      <c r="I28" s="520">
        <v>174.75</v>
      </c>
    </row>
    <row r="29" spans="1:19" x14ac:dyDescent="0.2">
      <c r="A29" s="517">
        <v>10248.459999999999</v>
      </c>
      <c r="B29" s="517">
        <v>16153.05</v>
      </c>
      <c r="C29" s="517">
        <v>1641.75</v>
      </c>
      <c r="D29" s="519">
        <v>0.23519999999999999</v>
      </c>
      <c r="E29" s="25"/>
      <c r="F29" s="25"/>
      <c r="G29" s="521">
        <v>2327.56</v>
      </c>
      <c r="H29" s="521">
        <v>2632.65</v>
      </c>
      <c r="I29" s="520">
        <v>160.35</v>
      </c>
    </row>
    <row r="30" spans="1:19" x14ac:dyDescent="0.2">
      <c r="A30" s="517">
        <v>16153.06</v>
      </c>
      <c r="B30" s="522">
        <v>9999999</v>
      </c>
      <c r="C30" s="517">
        <v>3030.6</v>
      </c>
      <c r="D30" s="519">
        <v>0.3</v>
      </c>
      <c r="E30" s="25"/>
      <c r="F30" s="25"/>
      <c r="G30" s="521">
        <v>2632.66</v>
      </c>
      <c r="H30" s="521">
        <v>3071.4</v>
      </c>
      <c r="I30" s="520">
        <v>145.35</v>
      </c>
    </row>
    <row r="31" spans="1:19" x14ac:dyDescent="0.2">
      <c r="A31" s="10"/>
      <c r="B31" s="10"/>
      <c r="C31" s="518"/>
      <c r="D31" s="10"/>
      <c r="E31" s="1"/>
      <c r="F31" s="1"/>
      <c r="G31" s="521">
        <v>3071.41</v>
      </c>
      <c r="H31" s="521">
        <v>3510.15</v>
      </c>
      <c r="I31" s="520">
        <v>125.1</v>
      </c>
    </row>
    <row r="32" spans="1:19" x14ac:dyDescent="0.2">
      <c r="A32" s="1"/>
      <c r="B32" s="1"/>
      <c r="C32" s="2"/>
      <c r="D32" s="1"/>
      <c r="E32" s="1"/>
      <c r="F32" s="1"/>
      <c r="G32" s="521">
        <v>3510.16</v>
      </c>
      <c r="H32" s="521">
        <v>3642.6</v>
      </c>
      <c r="I32" s="520">
        <v>107.4</v>
      </c>
    </row>
    <row r="33" spans="1:9" x14ac:dyDescent="0.2">
      <c r="A33" s="1"/>
      <c r="B33" s="1"/>
      <c r="C33" s="1"/>
      <c r="D33" s="1"/>
      <c r="E33" s="1"/>
      <c r="F33" s="1"/>
      <c r="G33" s="521">
        <v>3642.61</v>
      </c>
      <c r="H33" s="522">
        <v>9999999</v>
      </c>
      <c r="I33" s="520">
        <v>0</v>
      </c>
    </row>
    <row r="38" spans="1:9" x14ac:dyDescent="0.2">
      <c r="A38" s="1" t="s">
        <v>62</v>
      </c>
      <c r="B38" s="1"/>
      <c r="C38" s="1"/>
      <c r="D38" s="23"/>
      <c r="E38" s="1"/>
      <c r="F38" s="1"/>
      <c r="G38" s="1" t="s">
        <v>498</v>
      </c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515">
        <v>0.01</v>
      </c>
      <c r="B40" s="515">
        <v>496.07</v>
      </c>
      <c r="C40" s="515">
        <v>0</v>
      </c>
      <c r="D40" s="519">
        <v>1.9199999999999998E-2</v>
      </c>
      <c r="E40" s="25"/>
      <c r="F40" s="25"/>
      <c r="G40" s="520">
        <v>0.01</v>
      </c>
      <c r="H40" s="521">
        <v>1768.96</v>
      </c>
      <c r="I40" s="520">
        <v>407.02</v>
      </c>
    </row>
    <row r="41" spans="1:9" x14ac:dyDescent="0.2">
      <c r="A41" s="515">
        <v>496.08</v>
      </c>
      <c r="B41" s="517">
        <v>4210.41</v>
      </c>
      <c r="C41" s="515">
        <v>9.52</v>
      </c>
      <c r="D41" s="519">
        <v>6.4000000000000001E-2</v>
      </c>
      <c r="E41" s="25"/>
      <c r="F41" s="25"/>
      <c r="G41" s="521">
        <v>1768.97</v>
      </c>
      <c r="H41" s="521">
        <v>2653.38</v>
      </c>
      <c r="I41" s="520">
        <v>406.83</v>
      </c>
    </row>
    <row r="42" spans="1:9" x14ac:dyDescent="0.2">
      <c r="A42" s="517">
        <v>4210.42</v>
      </c>
      <c r="B42" s="517">
        <v>7399.42</v>
      </c>
      <c r="C42" s="515">
        <v>247.23</v>
      </c>
      <c r="D42" s="519">
        <v>0.10880000000000001</v>
      </c>
      <c r="E42" s="25"/>
      <c r="F42" s="25"/>
      <c r="G42" s="521">
        <v>2653.39</v>
      </c>
      <c r="H42" s="521">
        <v>3472.84</v>
      </c>
      <c r="I42" s="520">
        <v>406.62</v>
      </c>
    </row>
    <row r="43" spans="1:9" x14ac:dyDescent="0.2">
      <c r="A43" s="517">
        <v>7399.43</v>
      </c>
      <c r="B43" s="517">
        <v>8601.5</v>
      </c>
      <c r="C43" s="515">
        <v>594.24</v>
      </c>
      <c r="D43" s="519">
        <v>0.16</v>
      </c>
      <c r="E43" s="25"/>
      <c r="F43" s="25"/>
      <c r="G43" s="521">
        <v>3472.85</v>
      </c>
      <c r="H43" s="521">
        <v>3537.87</v>
      </c>
      <c r="I43" s="520">
        <v>392.77</v>
      </c>
    </row>
    <row r="44" spans="1:9" x14ac:dyDescent="0.2">
      <c r="A44" s="517">
        <v>8601.51</v>
      </c>
      <c r="B44" s="517">
        <v>10298.35</v>
      </c>
      <c r="C44" s="515">
        <v>786.55</v>
      </c>
      <c r="D44" s="519">
        <v>0.17920000000000003</v>
      </c>
      <c r="E44" s="25"/>
      <c r="F44" s="25"/>
      <c r="G44" s="521">
        <v>3537.88</v>
      </c>
      <c r="H44" s="521">
        <v>4446.1499999999996</v>
      </c>
      <c r="I44" s="520">
        <v>382.46</v>
      </c>
    </row>
    <row r="45" spans="1:9" x14ac:dyDescent="0.2">
      <c r="A45" s="517">
        <v>10298.36</v>
      </c>
      <c r="B45" s="517">
        <v>20770.29</v>
      </c>
      <c r="C45" s="517">
        <v>1090.6199999999999</v>
      </c>
      <c r="D45" s="519">
        <v>0.21359999999999998</v>
      </c>
      <c r="E45" s="25"/>
      <c r="F45" s="25"/>
      <c r="G45" s="521">
        <v>4446.16</v>
      </c>
      <c r="H45" s="521">
        <v>4717.18</v>
      </c>
      <c r="I45" s="520">
        <v>354.23</v>
      </c>
    </row>
    <row r="46" spans="1:9" x14ac:dyDescent="0.2">
      <c r="A46" s="517">
        <v>20770.3</v>
      </c>
      <c r="B46" s="517">
        <v>32736.83</v>
      </c>
      <c r="C46" s="517">
        <v>3327.42</v>
      </c>
      <c r="D46" s="519">
        <v>0.23519999999999999</v>
      </c>
      <c r="E46" s="25"/>
      <c r="F46" s="25"/>
      <c r="G46" s="521">
        <v>4717.1899999999996</v>
      </c>
      <c r="H46" s="521">
        <v>5335.42</v>
      </c>
      <c r="I46" s="520">
        <v>324.87</v>
      </c>
    </row>
    <row r="47" spans="1:9" x14ac:dyDescent="0.2">
      <c r="A47" s="517">
        <v>32736.84</v>
      </c>
      <c r="B47" s="522">
        <v>9999999</v>
      </c>
      <c r="C47" s="517">
        <v>6141.95</v>
      </c>
      <c r="D47" s="519">
        <v>0.3</v>
      </c>
      <c r="E47" s="25"/>
      <c r="F47" s="25"/>
      <c r="G47" s="521">
        <v>5335.43</v>
      </c>
      <c r="H47" s="521">
        <v>6224.67</v>
      </c>
      <c r="I47" s="520">
        <v>294.63</v>
      </c>
    </row>
    <row r="48" spans="1:9" x14ac:dyDescent="0.2">
      <c r="A48" s="1"/>
      <c r="B48" s="1"/>
      <c r="C48" s="2"/>
      <c r="D48" s="1"/>
      <c r="E48" s="1"/>
      <c r="F48" s="1"/>
      <c r="G48" s="521">
        <v>6224.68</v>
      </c>
      <c r="H48" s="521">
        <v>7113.9</v>
      </c>
      <c r="I48" s="520">
        <v>253.54</v>
      </c>
    </row>
    <row r="49" spans="1:9" x14ac:dyDescent="0.2">
      <c r="A49" s="1"/>
      <c r="B49" s="1"/>
      <c r="C49" s="2"/>
      <c r="D49" s="1"/>
      <c r="E49" s="1"/>
      <c r="F49" s="1"/>
      <c r="G49" s="521">
        <v>7113.91</v>
      </c>
      <c r="H49" s="521">
        <v>7382.33</v>
      </c>
      <c r="I49" s="520">
        <v>217.61</v>
      </c>
    </row>
    <row r="50" spans="1:9" x14ac:dyDescent="0.2">
      <c r="A50" s="1"/>
      <c r="B50" s="1"/>
      <c r="C50" s="1"/>
      <c r="D50" s="1"/>
      <c r="E50" s="1"/>
      <c r="F50" s="1"/>
      <c r="G50" s="521">
        <v>7382.34</v>
      </c>
      <c r="H50" s="522">
        <v>9999999</v>
      </c>
      <c r="I50" s="520">
        <v>0</v>
      </c>
    </row>
    <row r="55" spans="1:9" x14ac:dyDescent="0.2">
      <c r="A55" s="1" t="s">
        <v>80</v>
      </c>
      <c r="B55" s="1"/>
      <c r="C55" s="1"/>
      <c r="D55" s="1"/>
      <c r="E55" s="1"/>
    </row>
    <row r="56" spans="1:9" x14ac:dyDescent="0.2">
      <c r="A56" s="1"/>
      <c r="B56" s="1"/>
      <c r="C56" s="1"/>
      <c r="D56" s="1"/>
      <c r="E56" s="1"/>
    </row>
    <row r="57" spans="1:9" x14ac:dyDescent="0.2">
      <c r="A57" s="515">
        <v>0.01</v>
      </c>
      <c r="B57" s="517">
        <v>5952.84</v>
      </c>
      <c r="C57" s="515">
        <v>0</v>
      </c>
      <c r="D57" s="519">
        <v>1.9199999999999998E-2</v>
      </c>
      <c r="E57" s="25"/>
    </row>
    <row r="58" spans="1:9" x14ac:dyDescent="0.2">
      <c r="A58" s="517">
        <v>5952.85</v>
      </c>
      <c r="B58" s="517">
        <v>50524.92</v>
      </c>
      <c r="C58" s="515">
        <v>114.24</v>
      </c>
      <c r="D58" s="519">
        <v>6.4000000000000001E-2</v>
      </c>
      <c r="E58" s="25"/>
    </row>
    <row r="59" spans="1:9" x14ac:dyDescent="0.2">
      <c r="A59" s="517">
        <v>50524.93</v>
      </c>
      <c r="B59" s="517">
        <v>88793.04</v>
      </c>
      <c r="C59" s="517">
        <v>2966.76</v>
      </c>
      <c r="D59" s="519">
        <v>0.10880000000000001</v>
      </c>
      <c r="E59" s="25"/>
    </row>
    <row r="60" spans="1:9" x14ac:dyDescent="0.2">
      <c r="A60" s="517">
        <v>88793.05</v>
      </c>
      <c r="B60" s="517">
        <v>103218</v>
      </c>
      <c r="C60" s="517">
        <v>7130.88</v>
      </c>
      <c r="D60" s="519">
        <v>0.16</v>
      </c>
      <c r="E60" s="25"/>
    </row>
    <row r="61" spans="1:9" x14ac:dyDescent="0.2">
      <c r="A61" s="517">
        <v>103218.01</v>
      </c>
      <c r="B61" s="517">
        <v>123580.2</v>
      </c>
      <c r="C61" s="517">
        <v>9438.6</v>
      </c>
      <c r="D61" s="519">
        <v>0.17920000000000003</v>
      </c>
      <c r="E61" s="25"/>
    </row>
    <row r="62" spans="1:9" x14ac:dyDescent="0.2">
      <c r="A62" s="517">
        <v>123580.21</v>
      </c>
      <c r="B62" s="517">
        <v>249243.48</v>
      </c>
      <c r="C62" s="517">
        <v>13087.44</v>
      </c>
      <c r="D62" s="519">
        <v>0.21359999999999998</v>
      </c>
      <c r="E62" s="25"/>
    </row>
    <row r="63" spans="1:9" x14ac:dyDescent="0.2">
      <c r="A63" s="517">
        <v>249243.49</v>
      </c>
      <c r="B63" s="517">
        <v>392841.96</v>
      </c>
      <c r="C63" s="517">
        <v>39929.040000000001</v>
      </c>
      <c r="D63" s="519">
        <v>0.23519999999999999</v>
      </c>
      <c r="E63" s="25"/>
    </row>
    <row r="64" spans="1:9" x14ac:dyDescent="0.2">
      <c r="A64" s="517">
        <v>392841.97</v>
      </c>
      <c r="B64" s="522">
        <v>9999999</v>
      </c>
      <c r="C64" s="517">
        <v>73703.399999999994</v>
      </c>
      <c r="D64" s="519">
        <v>0.3</v>
      </c>
      <c r="E64" s="25"/>
    </row>
    <row r="65" spans="1:60" x14ac:dyDescent="0.2">
      <c r="A65" s="1"/>
      <c r="B65" s="1"/>
      <c r="C65" s="2"/>
      <c r="D65" s="1"/>
      <c r="E65" s="1"/>
    </row>
    <row r="69" spans="1:60" ht="13.5" thickBot="1" x14ac:dyDescent="0.25">
      <c r="A69" t="s">
        <v>305</v>
      </c>
      <c r="F69" t="s">
        <v>306</v>
      </c>
      <c r="K69" t="s">
        <v>307</v>
      </c>
      <c r="P69" t="s">
        <v>308</v>
      </c>
      <c r="U69" t="s">
        <v>309</v>
      </c>
      <c r="Z69" t="s">
        <v>310</v>
      </c>
      <c r="AF69" t="s">
        <v>311</v>
      </c>
      <c r="AK69" t="s">
        <v>312</v>
      </c>
      <c r="AP69" t="s">
        <v>313</v>
      </c>
      <c r="AU69" t="s">
        <v>314</v>
      </c>
      <c r="AZ69" t="s">
        <v>315</v>
      </c>
      <c r="BE69" t="s">
        <v>316</v>
      </c>
    </row>
    <row r="70" spans="1:60" ht="34.5" thickTop="1" x14ac:dyDescent="0.2">
      <c r="A70" s="267" t="s">
        <v>300</v>
      </c>
      <c r="B70" s="268" t="s">
        <v>301</v>
      </c>
      <c r="C70" s="268" t="s">
        <v>13</v>
      </c>
      <c r="D70" s="268" t="s">
        <v>302</v>
      </c>
      <c r="F70" s="267" t="s">
        <v>300</v>
      </c>
      <c r="G70" s="268" t="s">
        <v>301</v>
      </c>
      <c r="H70" s="268" t="s">
        <v>13</v>
      </c>
      <c r="I70" s="268" t="s">
        <v>302</v>
      </c>
      <c r="K70" s="267" t="s">
        <v>300</v>
      </c>
      <c r="L70" s="268" t="s">
        <v>301</v>
      </c>
      <c r="M70" s="268" t="s">
        <v>13</v>
      </c>
      <c r="N70" s="268" t="s">
        <v>302</v>
      </c>
      <c r="P70" s="267" t="s">
        <v>300</v>
      </c>
      <c r="Q70" s="268" t="s">
        <v>301</v>
      </c>
      <c r="R70" s="268" t="s">
        <v>13</v>
      </c>
      <c r="S70" s="268" t="s">
        <v>302</v>
      </c>
      <c r="U70" s="267" t="s">
        <v>300</v>
      </c>
      <c r="V70" s="268" t="s">
        <v>301</v>
      </c>
      <c r="W70" s="268" t="s">
        <v>13</v>
      </c>
      <c r="X70" s="268" t="s">
        <v>302</v>
      </c>
      <c r="Z70" s="267" t="s">
        <v>300</v>
      </c>
      <c r="AA70" s="268" t="s">
        <v>301</v>
      </c>
      <c r="AB70" s="268" t="s">
        <v>13</v>
      </c>
      <c r="AC70" s="606" t="s">
        <v>302</v>
      </c>
      <c r="AD70" s="606"/>
      <c r="AF70" s="267" t="s">
        <v>300</v>
      </c>
      <c r="AG70" s="268" t="s">
        <v>301</v>
      </c>
      <c r="AH70" s="268" t="s">
        <v>13</v>
      </c>
      <c r="AI70" s="268" t="s">
        <v>302</v>
      </c>
      <c r="AK70" s="267" t="s">
        <v>300</v>
      </c>
      <c r="AL70" s="268" t="s">
        <v>301</v>
      </c>
      <c r="AM70" s="268" t="s">
        <v>13</v>
      </c>
      <c r="AN70" s="268" t="s">
        <v>302</v>
      </c>
      <c r="AP70" s="267" t="s">
        <v>300</v>
      </c>
      <c r="AQ70" s="268" t="s">
        <v>301</v>
      </c>
      <c r="AR70" s="268" t="s">
        <v>13</v>
      </c>
      <c r="AS70" s="268" t="s">
        <v>302</v>
      </c>
      <c r="AU70" s="267" t="s">
        <v>300</v>
      </c>
      <c r="AV70" s="268" t="s">
        <v>301</v>
      </c>
      <c r="AW70" s="268" t="s">
        <v>13</v>
      </c>
      <c r="AX70" s="268" t="s">
        <v>302</v>
      </c>
      <c r="AZ70" s="267" t="s">
        <v>300</v>
      </c>
      <c r="BA70" s="268" t="s">
        <v>301</v>
      </c>
      <c r="BB70" s="268" t="s">
        <v>13</v>
      </c>
      <c r="BC70" s="268" t="s">
        <v>302</v>
      </c>
      <c r="BE70" s="267" t="s">
        <v>300</v>
      </c>
      <c r="BF70" s="268" t="s">
        <v>301</v>
      </c>
      <c r="BG70" s="268" t="s">
        <v>13</v>
      </c>
      <c r="BH70" s="268" t="s">
        <v>302</v>
      </c>
    </row>
    <row r="71" spans="1:60" ht="33.75" x14ac:dyDescent="0.2">
      <c r="A71" s="269"/>
      <c r="B71" s="269"/>
      <c r="C71" s="269"/>
      <c r="D71" s="269" t="s">
        <v>303</v>
      </c>
      <c r="F71" s="269"/>
      <c r="G71" s="269"/>
      <c r="H71" s="269"/>
      <c r="I71" s="269" t="s">
        <v>303</v>
      </c>
      <c r="K71" s="269"/>
      <c r="L71" s="269"/>
      <c r="M71" s="269"/>
      <c r="N71" s="269" t="s">
        <v>303</v>
      </c>
      <c r="P71" s="269"/>
      <c r="Q71" s="269"/>
      <c r="R71" s="269"/>
      <c r="S71" s="269" t="s">
        <v>303</v>
      </c>
      <c r="U71" s="269"/>
      <c r="V71" s="269"/>
      <c r="W71" s="269"/>
      <c r="X71" s="269" t="s">
        <v>303</v>
      </c>
      <c r="Z71" s="269"/>
      <c r="AA71" s="269"/>
      <c r="AB71" s="269"/>
      <c r="AC71" s="607" t="s">
        <v>303</v>
      </c>
      <c r="AD71" s="607"/>
      <c r="AF71" s="269"/>
      <c r="AG71" s="269"/>
      <c r="AH71" s="269"/>
      <c r="AI71" s="269" t="s">
        <v>303</v>
      </c>
      <c r="AK71" s="269"/>
      <c r="AL71" s="269"/>
      <c r="AM71" s="269"/>
      <c r="AN71" s="269" t="s">
        <v>303</v>
      </c>
      <c r="AP71" s="269"/>
      <c r="AQ71" s="269"/>
      <c r="AR71" s="269"/>
      <c r="AS71" s="269" t="s">
        <v>303</v>
      </c>
      <c r="AU71" s="269"/>
      <c r="AV71" s="269"/>
      <c r="AW71" s="269"/>
      <c r="AX71" s="269" t="s">
        <v>303</v>
      </c>
      <c r="AZ71" s="269"/>
      <c r="BA71" s="269"/>
      <c r="BB71" s="269"/>
      <c r="BC71" s="269" t="s">
        <v>303</v>
      </c>
      <c r="BE71" s="269"/>
      <c r="BF71" s="269"/>
      <c r="BG71" s="269"/>
      <c r="BH71" s="269" t="s">
        <v>303</v>
      </c>
    </row>
    <row r="72" spans="1:60" ht="13.5" thickBot="1" x14ac:dyDescent="0.25">
      <c r="A72" s="270" t="s">
        <v>304</v>
      </c>
      <c r="B72" s="270" t="s">
        <v>304</v>
      </c>
      <c r="C72" s="270" t="s">
        <v>304</v>
      </c>
      <c r="D72" s="270" t="s">
        <v>11</v>
      </c>
      <c r="F72" s="270" t="s">
        <v>304</v>
      </c>
      <c r="G72" s="270" t="s">
        <v>304</v>
      </c>
      <c r="H72" s="270" t="s">
        <v>304</v>
      </c>
      <c r="I72" s="270" t="s">
        <v>11</v>
      </c>
      <c r="K72" s="270" t="s">
        <v>304</v>
      </c>
      <c r="L72" s="270" t="s">
        <v>304</v>
      </c>
      <c r="M72" s="270" t="s">
        <v>304</v>
      </c>
      <c r="N72" s="270" t="s">
        <v>11</v>
      </c>
      <c r="P72" s="270" t="s">
        <v>304</v>
      </c>
      <c r="Q72" s="270" t="s">
        <v>304</v>
      </c>
      <c r="R72" s="270" t="s">
        <v>304</v>
      </c>
      <c r="S72" s="270" t="s">
        <v>11</v>
      </c>
      <c r="U72" s="270" t="s">
        <v>304</v>
      </c>
      <c r="V72" s="270" t="s">
        <v>304</v>
      </c>
      <c r="W72" s="270" t="s">
        <v>304</v>
      </c>
      <c r="X72" s="270" t="s">
        <v>11</v>
      </c>
      <c r="Z72" s="270" t="s">
        <v>304</v>
      </c>
      <c r="AA72" s="270" t="s">
        <v>304</v>
      </c>
      <c r="AB72" s="270" t="s">
        <v>304</v>
      </c>
      <c r="AC72" s="608" t="s">
        <v>11</v>
      </c>
      <c r="AD72" s="608"/>
      <c r="AF72" s="270" t="s">
        <v>304</v>
      </c>
      <c r="AG72" s="270" t="s">
        <v>304</v>
      </c>
      <c r="AH72" s="270" t="s">
        <v>304</v>
      </c>
      <c r="AI72" s="270" t="s">
        <v>11</v>
      </c>
      <c r="AK72" s="270" t="s">
        <v>304</v>
      </c>
      <c r="AL72" s="270" t="s">
        <v>304</v>
      </c>
      <c r="AM72" s="270" t="s">
        <v>304</v>
      </c>
      <c r="AN72" s="270" t="s">
        <v>11</v>
      </c>
      <c r="AP72" s="270" t="s">
        <v>304</v>
      </c>
      <c r="AQ72" s="270" t="s">
        <v>304</v>
      </c>
      <c r="AR72" s="270" t="s">
        <v>304</v>
      </c>
      <c r="AS72" s="270" t="s">
        <v>11</v>
      </c>
      <c r="AU72" s="270" t="s">
        <v>304</v>
      </c>
      <c r="AV72" s="270" t="s">
        <v>304</v>
      </c>
      <c r="AW72" s="270" t="s">
        <v>304</v>
      </c>
      <c r="AX72" s="270" t="s">
        <v>11</v>
      </c>
      <c r="AZ72" s="270" t="s">
        <v>304</v>
      </c>
      <c r="BA72" s="270" t="s">
        <v>304</v>
      </c>
      <c r="BB72" s="270" t="s">
        <v>304</v>
      </c>
      <c r="BC72" s="270" t="s">
        <v>11</v>
      </c>
      <c r="BE72" s="270" t="s">
        <v>304</v>
      </c>
      <c r="BF72" s="270" t="s">
        <v>304</v>
      </c>
      <c r="BG72" s="270" t="s">
        <v>304</v>
      </c>
      <c r="BH72" s="270" t="s">
        <v>11</v>
      </c>
    </row>
    <row r="73" spans="1:60" ht="16.5" thickTop="1" x14ac:dyDescent="0.25">
      <c r="A73" s="509">
        <v>0.01</v>
      </c>
      <c r="B73" s="509">
        <v>496.07</v>
      </c>
      <c r="C73" s="509">
        <v>0</v>
      </c>
      <c r="D73" s="524">
        <v>1.9199999999999998E-2</v>
      </c>
      <c r="F73" s="509">
        <v>0.01</v>
      </c>
      <c r="G73" s="509">
        <v>992.14</v>
      </c>
      <c r="H73" s="509">
        <v>0</v>
      </c>
      <c r="I73" s="524">
        <v>1.9199999999999998E-2</v>
      </c>
      <c r="K73" s="509">
        <v>0.01</v>
      </c>
      <c r="L73" s="523">
        <v>1488.21</v>
      </c>
      <c r="M73" s="509">
        <v>0</v>
      </c>
      <c r="N73" s="524">
        <v>1.9199999999999998E-2</v>
      </c>
      <c r="P73" s="509">
        <v>0.01</v>
      </c>
      <c r="Q73" s="514">
        <v>1984.28</v>
      </c>
      <c r="R73" s="509">
        <v>0</v>
      </c>
      <c r="S73" s="524">
        <v>1.9199999999999998E-2</v>
      </c>
      <c r="U73" s="509">
        <v>0.01</v>
      </c>
      <c r="V73" s="523">
        <v>2480.35</v>
      </c>
      <c r="W73" s="509">
        <v>0</v>
      </c>
      <c r="X73" s="524">
        <v>1.9199999999999998E-2</v>
      </c>
      <c r="Z73" s="509">
        <v>0.01</v>
      </c>
      <c r="AA73" s="523">
        <v>2976.42</v>
      </c>
      <c r="AB73" s="509">
        <v>0</v>
      </c>
      <c r="AC73" s="524">
        <v>1.9199999999999998E-2</v>
      </c>
      <c r="AD73" s="271"/>
      <c r="AF73" s="509">
        <v>0.01</v>
      </c>
      <c r="AG73" s="523">
        <v>3472.49</v>
      </c>
      <c r="AH73" s="509">
        <v>0</v>
      </c>
      <c r="AI73" s="524">
        <v>1.9199999999999998E-2</v>
      </c>
      <c r="AK73" s="509">
        <v>0.01</v>
      </c>
      <c r="AL73" s="523">
        <v>3968.56</v>
      </c>
      <c r="AM73" s="509">
        <v>0</v>
      </c>
      <c r="AN73" s="524">
        <v>1.9199999999999998E-2</v>
      </c>
      <c r="AP73" s="509">
        <v>0.01</v>
      </c>
      <c r="AQ73" s="523">
        <v>4464.63</v>
      </c>
      <c r="AR73" s="509">
        <v>0</v>
      </c>
      <c r="AS73" s="524">
        <v>1.9199999999999998E-2</v>
      </c>
      <c r="AU73" s="509">
        <v>0.01</v>
      </c>
      <c r="AV73" s="523">
        <v>4960.7</v>
      </c>
      <c r="AW73" s="509">
        <v>0</v>
      </c>
      <c r="AX73" s="524">
        <v>1.9199999999999998E-2</v>
      </c>
      <c r="AZ73" s="509">
        <v>0.01</v>
      </c>
      <c r="BA73" s="523">
        <v>5456.77</v>
      </c>
      <c r="BB73" s="509">
        <v>0</v>
      </c>
      <c r="BC73" s="524">
        <v>1.9199999999999998E-2</v>
      </c>
      <c r="BE73" s="509">
        <v>0.01</v>
      </c>
      <c r="BF73" s="523">
        <v>5952.84</v>
      </c>
      <c r="BG73" s="509">
        <v>0</v>
      </c>
      <c r="BH73" s="524">
        <v>1.9199999999999998E-2</v>
      </c>
    </row>
    <row r="74" spans="1:60" ht="15.75" x14ac:dyDescent="0.25">
      <c r="A74" s="510">
        <v>496.08</v>
      </c>
      <c r="B74" s="511">
        <v>4210.41</v>
      </c>
      <c r="C74" s="510">
        <v>9.52</v>
      </c>
      <c r="D74" s="524">
        <v>6.4000000000000001E-2</v>
      </c>
      <c r="F74" s="510">
        <v>992.15</v>
      </c>
      <c r="G74" s="511">
        <v>8420.82</v>
      </c>
      <c r="H74" s="510">
        <v>19.04</v>
      </c>
      <c r="I74" s="524">
        <v>6.4000000000000001E-2</v>
      </c>
      <c r="K74" s="511">
        <v>1488.22</v>
      </c>
      <c r="L74" s="511">
        <v>12631.23</v>
      </c>
      <c r="M74" s="510">
        <v>28.56</v>
      </c>
      <c r="N74" s="524">
        <v>6.4000000000000001E-2</v>
      </c>
      <c r="P74" s="511">
        <v>1984.29</v>
      </c>
      <c r="Q74" s="511">
        <v>16841.64</v>
      </c>
      <c r="R74" s="510">
        <v>38.08</v>
      </c>
      <c r="S74" s="524">
        <v>6.4000000000000001E-2</v>
      </c>
      <c r="U74" s="511">
        <v>2480.36</v>
      </c>
      <c r="V74" s="511">
        <v>21052.05</v>
      </c>
      <c r="W74" s="510">
        <v>47.6</v>
      </c>
      <c r="X74" s="524">
        <v>6.4000000000000001E-2</v>
      </c>
      <c r="Z74" s="511">
        <v>2976.43</v>
      </c>
      <c r="AA74" s="511">
        <v>25262.46</v>
      </c>
      <c r="AB74" s="510">
        <v>57.12</v>
      </c>
      <c r="AC74" s="524">
        <v>6.4000000000000001E-2</v>
      </c>
      <c r="AD74" s="271"/>
      <c r="AF74" s="511">
        <v>3472.5</v>
      </c>
      <c r="AG74" s="511">
        <v>29472.87</v>
      </c>
      <c r="AH74" s="510">
        <v>66.64</v>
      </c>
      <c r="AI74" s="524">
        <v>6.4000000000000001E-2</v>
      </c>
      <c r="AK74" s="511">
        <v>3968.57</v>
      </c>
      <c r="AL74" s="511">
        <v>33683.279999999999</v>
      </c>
      <c r="AM74" s="510">
        <v>76.16</v>
      </c>
      <c r="AN74" s="524">
        <v>6.4000000000000001E-2</v>
      </c>
      <c r="AP74" s="511">
        <v>4464.6400000000003</v>
      </c>
      <c r="AQ74" s="511">
        <v>37893.69</v>
      </c>
      <c r="AR74" s="510">
        <v>85.68</v>
      </c>
      <c r="AS74" s="524">
        <v>6.4000000000000001E-2</v>
      </c>
      <c r="AU74" s="511">
        <v>4960.71</v>
      </c>
      <c r="AV74" s="511">
        <v>42104.1</v>
      </c>
      <c r="AW74" s="510">
        <v>95.2</v>
      </c>
      <c r="AX74" s="524">
        <v>6.4000000000000001E-2</v>
      </c>
      <c r="AZ74" s="511">
        <v>5456.78</v>
      </c>
      <c r="BA74" s="511">
        <v>46314.51</v>
      </c>
      <c r="BB74" s="510">
        <v>104.72</v>
      </c>
      <c r="BC74" s="524">
        <v>6.4000000000000001E-2</v>
      </c>
      <c r="BE74" s="511">
        <v>5952.85</v>
      </c>
      <c r="BF74" s="511">
        <v>50524.92</v>
      </c>
      <c r="BG74" s="510">
        <v>114.24</v>
      </c>
      <c r="BH74" s="524">
        <v>6.4000000000000001E-2</v>
      </c>
    </row>
    <row r="75" spans="1:60" ht="15.75" x14ac:dyDescent="0.25">
      <c r="A75" s="511">
        <v>4210.42</v>
      </c>
      <c r="B75" s="511">
        <v>7399.42</v>
      </c>
      <c r="C75" s="510">
        <v>247.23</v>
      </c>
      <c r="D75" s="524">
        <v>0.10880000000000001</v>
      </c>
      <c r="F75" s="511">
        <v>8420.83</v>
      </c>
      <c r="G75" s="511">
        <v>14798.84</v>
      </c>
      <c r="H75" s="510">
        <v>494.46</v>
      </c>
      <c r="I75" s="524">
        <v>0.10880000000000001</v>
      </c>
      <c r="K75" s="511">
        <v>12631.24</v>
      </c>
      <c r="L75" s="511">
        <v>22198.26</v>
      </c>
      <c r="M75" s="510">
        <v>741.69</v>
      </c>
      <c r="N75" s="524">
        <v>0.10880000000000001</v>
      </c>
      <c r="P75" s="511">
        <v>16841.650000000001</v>
      </c>
      <c r="Q75" s="511">
        <v>29597.68</v>
      </c>
      <c r="R75" s="510">
        <v>988.92</v>
      </c>
      <c r="S75" s="524">
        <v>0.10880000000000001</v>
      </c>
      <c r="U75" s="511">
        <v>21052.06</v>
      </c>
      <c r="V75" s="511">
        <v>36997.1</v>
      </c>
      <c r="W75" s="511">
        <v>1236.1500000000001</v>
      </c>
      <c r="X75" s="524">
        <v>0.10880000000000001</v>
      </c>
      <c r="Z75" s="511">
        <v>25262.47</v>
      </c>
      <c r="AA75" s="511">
        <v>44396.52</v>
      </c>
      <c r="AB75" s="511">
        <v>1483.38</v>
      </c>
      <c r="AC75" s="524">
        <v>0.10880000000000001</v>
      </c>
      <c r="AD75" s="271"/>
      <c r="AF75" s="511">
        <v>29472.880000000001</v>
      </c>
      <c r="AG75" s="511">
        <v>51795.94</v>
      </c>
      <c r="AH75" s="511">
        <v>1730.61</v>
      </c>
      <c r="AI75" s="524">
        <v>0.10880000000000001</v>
      </c>
      <c r="AK75" s="511">
        <v>33683.29</v>
      </c>
      <c r="AL75" s="511">
        <v>59195.360000000001</v>
      </c>
      <c r="AM75" s="511">
        <v>1977.84</v>
      </c>
      <c r="AN75" s="524">
        <v>0.10880000000000001</v>
      </c>
      <c r="AP75" s="511">
        <v>37893.699999999997</v>
      </c>
      <c r="AQ75" s="511">
        <v>66594.78</v>
      </c>
      <c r="AR75" s="511">
        <v>2225.0700000000002</v>
      </c>
      <c r="AS75" s="524">
        <v>0.10880000000000001</v>
      </c>
      <c r="AU75" s="511">
        <v>42104.11</v>
      </c>
      <c r="AV75" s="511">
        <v>73994.2</v>
      </c>
      <c r="AW75" s="511">
        <v>2472.3000000000002</v>
      </c>
      <c r="AX75" s="524">
        <v>0.10880000000000001</v>
      </c>
      <c r="AZ75" s="511">
        <v>46314.52</v>
      </c>
      <c r="BA75" s="511">
        <v>81393.62</v>
      </c>
      <c r="BB75" s="511">
        <v>2719.53</v>
      </c>
      <c r="BC75" s="524">
        <v>0.10880000000000001</v>
      </c>
      <c r="BE75" s="511">
        <v>50524.93</v>
      </c>
      <c r="BF75" s="511">
        <v>88793.04</v>
      </c>
      <c r="BG75" s="511">
        <v>2966.76</v>
      </c>
      <c r="BH75" s="524">
        <v>0.10880000000000001</v>
      </c>
    </row>
    <row r="76" spans="1:60" ht="15.75" x14ac:dyDescent="0.25">
      <c r="A76" s="511">
        <v>7399.43</v>
      </c>
      <c r="B76" s="511">
        <v>8601.5</v>
      </c>
      <c r="C76" s="510">
        <v>594.24</v>
      </c>
      <c r="D76" s="524">
        <v>0.16</v>
      </c>
      <c r="F76" s="511">
        <v>14798.85</v>
      </c>
      <c r="G76" s="511">
        <v>17203</v>
      </c>
      <c r="H76" s="511">
        <v>1188.48</v>
      </c>
      <c r="I76" s="524">
        <v>0.16</v>
      </c>
      <c r="K76" s="511">
        <v>22198.27</v>
      </c>
      <c r="L76" s="511">
        <v>25804.5</v>
      </c>
      <c r="M76" s="511">
        <v>1782.72</v>
      </c>
      <c r="N76" s="524">
        <v>0.16</v>
      </c>
      <c r="P76" s="511">
        <v>29597.69</v>
      </c>
      <c r="Q76" s="511">
        <v>34406</v>
      </c>
      <c r="R76" s="511">
        <v>2376.96</v>
      </c>
      <c r="S76" s="524">
        <v>0.16</v>
      </c>
      <c r="U76" s="511">
        <v>36997.11</v>
      </c>
      <c r="V76" s="511">
        <v>43007.5</v>
      </c>
      <c r="W76" s="511">
        <v>2971.2</v>
      </c>
      <c r="X76" s="524">
        <v>0.16</v>
      </c>
      <c r="Z76" s="511">
        <v>44396.53</v>
      </c>
      <c r="AA76" s="511">
        <v>51609</v>
      </c>
      <c r="AB76" s="511">
        <v>3565.44</v>
      </c>
      <c r="AC76" s="524">
        <v>0.16</v>
      </c>
      <c r="AD76" s="271"/>
      <c r="AF76" s="511">
        <v>51795.95</v>
      </c>
      <c r="AG76" s="511">
        <v>60210.5</v>
      </c>
      <c r="AH76" s="511">
        <v>4159.68</v>
      </c>
      <c r="AI76" s="524">
        <v>0.16</v>
      </c>
      <c r="AK76" s="511">
        <v>59195.37</v>
      </c>
      <c r="AL76" s="511">
        <v>68812</v>
      </c>
      <c r="AM76" s="511">
        <v>4753.92</v>
      </c>
      <c r="AN76" s="524">
        <v>0.16</v>
      </c>
      <c r="AP76" s="511">
        <v>66594.789999999994</v>
      </c>
      <c r="AQ76" s="511">
        <v>77413.5</v>
      </c>
      <c r="AR76" s="511">
        <v>5348.16</v>
      </c>
      <c r="AS76" s="524">
        <v>0.16</v>
      </c>
      <c r="AU76" s="511">
        <v>73994.210000000006</v>
      </c>
      <c r="AV76" s="511">
        <v>86015</v>
      </c>
      <c r="AW76" s="511">
        <v>5942.4</v>
      </c>
      <c r="AX76" s="524">
        <v>0.16</v>
      </c>
      <c r="AZ76" s="511">
        <v>81393.63</v>
      </c>
      <c r="BA76" s="511">
        <v>94616.5</v>
      </c>
      <c r="BB76" s="511">
        <v>6536.64</v>
      </c>
      <c r="BC76" s="524">
        <v>0.16</v>
      </c>
      <c r="BE76" s="511">
        <v>88793.05</v>
      </c>
      <c r="BF76" s="511">
        <v>103218</v>
      </c>
      <c r="BG76" s="511">
        <v>7130.88</v>
      </c>
      <c r="BH76" s="524">
        <v>0.16</v>
      </c>
    </row>
    <row r="77" spans="1:60" ht="15.75" x14ac:dyDescent="0.25">
      <c r="A77" s="511">
        <v>8601.51</v>
      </c>
      <c r="B77" s="511">
        <v>10298.35</v>
      </c>
      <c r="C77" s="510">
        <v>786.55</v>
      </c>
      <c r="D77" s="524">
        <v>0.17920000000000003</v>
      </c>
      <c r="F77" s="511">
        <v>17203.009999999998</v>
      </c>
      <c r="G77" s="511">
        <v>20596.7</v>
      </c>
      <c r="H77" s="511">
        <v>1573.1</v>
      </c>
      <c r="I77" s="524">
        <v>0.17920000000000003</v>
      </c>
      <c r="K77" s="511">
        <v>25804.51</v>
      </c>
      <c r="L77" s="511">
        <v>30895.05</v>
      </c>
      <c r="M77" s="511">
        <v>2359.65</v>
      </c>
      <c r="N77" s="524">
        <v>0.17920000000000003</v>
      </c>
      <c r="P77" s="511">
        <v>34406.01</v>
      </c>
      <c r="Q77" s="511">
        <v>41193.4</v>
      </c>
      <c r="R77" s="511">
        <v>3146.2</v>
      </c>
      <c r="S77" s="524">
        <v>0.17920000000000003</v>
      </c>
      <c r="U77" s="511">
        <v>43007.51</v>
      </c>
      <c r="V77" s="511">
        <v>51491.75</v>
      </c>
      <c r="W77" s="511">
        <v>3932.75</v>
      </c>
      <c r="X77" s="524">
        <v>0.17920000000000003</v>
      </c>
      <c r="Z77" s="511">
        <v>51609.01</v>
      </c>
      <c r="AA77" s="511">
        <v>61790.1</v>
      </c>
      <c r="AB77" s="511">
        <v>4719.3</v>
      </c>
      <c r="AC77" s="524">
        <v>0.17920000000000003</v>
      </c>
      <c r="AD77" s="271"/>
      <c r="AF77" s="511">
        <v>60210.51</v>
      </c>
      <c r="AG77" s="511">
        <v>72088.45</v>
      </c>
      <c r="AH77" s="511">
        <v>5505.85</v>
      </c>
      <c r="AI77" s="524">
        <v>0.17920000000000003</v>
      </c>
      <c r="AK77" s="511">
        <v>68812.009999999995</v>
      </c>
      <c r="AL77" s="511">
        <v>82386.8</v>
      </c>
      <c r="AM77" s="511">
        <v>6292.4</v>
      </c>
      <c r="AN77" s="524">
        <v>0.17920000000000003</v>
      </c>
      <c r="AP77" s="511">
        <v>77413.509999999995</v>
      </c>
      <c r="AQ77" s="511">
        <v>92685.15</v>
      </c>
      <c r="AR77" s="511">
        <v>7078.95</v>
      </c>
      <c r="AS77" s="524">
        <v>0.17920000000000003</v>
      </c>
      <c r="AU77" s="511">
        <v>86015.01</v>
      </c>
      <c r="AV77" s="511">
        <v>102983.5</v>
      </c>
      <c r="AW77" s="511">
        <v>7865.5</v>
      </c>
      <c r="AX77" s="524">
        <v>0.17920000000000003</v>
      </c>
      <c r="AZ77" s="511">
        <v>94616.51</v>
      </c>
      <c r="BA77" s="511">
        <v>113281.85</v>
      </c>
      <c r="BB77" s="511">
        <v>8652.0499999999993</v>
      </c>
      <c r="BC77" s="524">
        <v>0.17920000000000003</v>
      </c>
      <c r="BE77" s="511">
        <v>103218.01</v>
      </c>
      <c r="BF77" s="511">
        <v>123580.2</v>
      </c>
      <c r="BG77" s="511">
        <v>9438.6</v>
      </c>
      <c r="BH77" s="524">
        <v>0.17920000000000003</v>
      </c>
    </row>
    <row r="78" spans="1:60" ht="15.75" x14ac:dyDescent="0.25">
      <c r="A78" s="511">
        <v>10298.36</v>
      </c>
      <c r="B78" s="511">
        <v>20770.29</v>
      </c>
      <c r="C78" s="511">
        <v>1090.6199999999999</v>
      </c>
      <c r="D78" s="524">
        <v>0.21359999999999998</v>
      </c>
      <c r="F78" s="511">
        <v>20596.71</v>
      </c>
      <c r="G78" s="511">
        <v>41540.58</v>
      </c>
      <c r="H78" s="511">
        <v>2181.2399999999998</v>
      </c>
      <c r="I78" s="524">
        <v>0.21359999999999998</v>
      </c>
      <c r="K78" s="511">
        <v>30895.06</v>
      </c>
      <c r="L78" s="511">
        <v>62310.87</v>
      </c>
      <c r="M78" s="511">
        <v>3271.86</v>
      </c>
      <c r="N78" s="524">
        <v>0.21359999999999998</v>
      </c>
      <c r="P78" s="511">
        <v>41193.410000000003</v>
      </c>
      <c r="Q78" s="511">
        <v>83081.16</v>
      </c>
      <c r="R78" s="511">
        <v>4362.4799999999996</v>
      </c>
      <c r="S78" s="524">
        <v>0.21359999999999998</v>
      </c>
      <c r="U78" s="511">
        <v>51491.76</v>
      </c>
      <c r="V78" s="511">
        <v>103851.45</v>
      </c>
      <c r="W78" s="511">
        <v>5453.1</v>
      </c>
      <c r="X78" s="524">
        <v>0.21359999999999998</v>
      </c>
      <c r="Z78" s="511">
        <v>61790.11</v>
      </c>
      <c r="AA78" s="511">
        <v>124621.74</v>
      </c>
      <c r="AB78" s="511">
        <v>6543.72</v>
      </c>
      <c r="AC78" s="524">
        <v>0.21359999999999998</v>
      </c>
      <c r="AD78" s="271"/>
      <c r="AF78" s="511">
        <v>72088.460000000006</v>
      </c>
      <c r="AG78" s="511">
        <v>145392.03</v>
      </c>
      <c r="AH78" s="511">
        <v>7634.34</v>
      </c>
      <c r="AI78" s="524">
        <v>0.21359999999999998</v>
      </c>
      <c r="AK78" s="511">
        <v>82386.81</v>
      </c>
      <c r="AL78" s="511">
        <v>166162.32</v>
      </c>
      <c r="AM78" s="511">
        <v>8724.9599999999991</v>
      </c>
      <c r="AN78" s="524">
        <v>0.21359999999999998</v>
      </c>
      <c r="AP78" s="511">
        <v>92685.16</v>
      </c>
      <c r="AQ78" s="511">
        <v>186932.61</v>
      </c>
      <c r="AR78" s="511">
        <v>9815.58</v>
      </c>
      <c r="AS78" s="524">
        <v>0.21359999999999998</v>
      </c>
      <c r="AU78" s="511">
        <v>102983.51</v>
      </c>
      <c r="AV78" s="511">
        <v>207702.9</v>
      </c>
      <c r="AW78" s="511">
        <v>10906.2</v>
      </c>
      <c r="AX78" s="524">
        <v>0.21359999999999998</v>
      </c>
      <c r="AZ78" s="511">
        <v>113281.86</v>
      </c>
      <c r="BA78" s="511">
        <v>228473.19</v>
      </c>
      <c r="BB78" s="511">
        <v>11996.82</v>
      </c>
      <c r="BC78" s="524">
        <v>0.21359999999999998</v>
      </c>
      <c r="BE78" s="511">
        <v>123580.21</v>
      </c>
      <c r="BF78" s="511">
        <v>249243.48</v>
      </c>
      <c r="BG78" s="511">
        <v>13087.44</v>
      </c>
      <c r="BH78" s="524">
        <v>0.21359999999999998</v>
      </c>
    </row>
    <row r="79" spans="1:60" ht="15.75" x14ac:dyDescent="0.25">
      <c r="A79" s="511">
        <v>20770.3</v>
      </c>
      <c r="B79" s="511">
        <v>32736.83</v>
      </c>
      <c r="C79" s="511">
        <v>3327.42</v>
      </c>
      <c r="D79" s="524">
        <v>0.23519999999999999</v>
      </c>
      <c r="F79" s="511">
        <v>41540.589999999997</v>
      </c>
      <c r="G79" s="511">
        <v>65473.66</v>
      </c>
      <c r="H79" s="511">
        <v>6654.84</v>
      </c>
      <c r="I79" s="524">
        <v>0.23519999999999999</v>
      </c>
      <c r="K79" s="511">
        <v>62310.879999999997</v>
      </c>
      <c r="L79" s="511">
        <v>98210.49</v>
      </c>
      <c r="M79" s="511">
        <v>9982.26</v>
      </c>
      <c r="N79" s="524">
        <v>0.23519999999999999</v>
      </c>
      <c r="P79" s="511">
        <v>83081.17</v>
      </c>
      <c r="Q79" s="511">
        <v>130947.32</v>
      </c>
      <c r="R79" s="511">
        <v>13309.68</v>
      </c>
      <c r="S79" s="524">
        <v>0.23519999999999999</v>
      </c>
      <c r="U79" s="511">
        <v>103851.46</v>
      </c>
      <c r="V79" s="511">
        <v>163684.15</v>
      </c>
      <c r="W79" s="511">
        <v>16637.099999999999</v>
      </c>
      <c r="X79" s="524">
        <v>0.23519999999999999</v>
      </c>
      <c r="Z79" s="511">
        <v>124621.75</v>
      </c>
      <c r="AA79" s="511">
        <v>196420.98</v>
      </c>
      <c r="AB79" s="511">
        <v>19964.52</v>
      </c>
      <c r="AC79" s="524">
        <v>0.23519999999999999</v>
      </c>
      <c r="AD79" s="271"/>
      <c r="AF79" s="511">
        <v>145392.04</v>
      </c>
      <c r="AG79" s="511">
        <v>229157.81</v>
      </c>
      <c r="AH79" s="511">
        <v>23291.94</v>
      </c>
      <c r="AI79" s="524">
        <v>0.23519999999999999</v>
      </c>
      <c r="AK79" s="511">
        <v>166162.32999999999</v>
      </c>
      <c r="AL79" s="511">
        <v>261894.64</v>
      </c>
      <c r="AM79" s="511">
        <v>26619.360000000001</v>
      </c>
      <c r="AN79" s="524">
        <v>0.23519999999999999</v>
      </c>
      <c r="AP79" s="511">
        <v>186932.62</v>
      </c>
      <c r="AQ79" s="511">
        <v>294631.46999999997</v>
      </c>
      <c r="AR79" s="511">
        <v>29946.78</v>
      </c>
      <c r="AS79" s="524">
        <v>0.23519999999999999</v>
      </c>
      <c r="AU79" s="511">
        <v>207702.91</v>
      </c>
      <c r="AV79" s="511">
        <v>327368.3</v>
      </c>
      <c r="AW79" s="511">
        <v>33274.199999999997</v>
      </c>
      <c r="AX79" s="524">
        <v>0.23519999999999999</v>
      </c>
      <c r="AZ79" s="511">
        <v>228473.2</v>
      </c>
      <c r="BA79" s="511">
        <v>360105.13</v>
      </c>
      <c r="BB79" s="511">
        <v>36601.620000000003</v>
      </c>
      <c r="BC79" s="524">
        <v>0.23519999999999999</v>
      </c>
      <c r="BE79" s="511">
        <v>249243.49</v>
      </c>
      <c r="BF79" s="511">
        <v>392841.96</v>
      </c>
      <c r="BG79" s="511">
        <v>39929.040000000001</v>
      </c>
      <c r="BH79" s="524">
        <v>0.23519999999999999</v>
      </c>
    </row>
    <row r="80" spans="1:60" ht="16.5" thickBot="1" x14ac:dyDescent="0.3">
      <c r="A80" s="512">
        <v>32736.84</v>
      </c>
      <c r="B80" s="513" t="s">
        <v>189</v>
      </c>
      <c r="C80" s="512">
        <v>6141.95</v>
      </c>
      <c r="D80" s="525">
        <v>0.3</v>
      </c>
      <c r="F80" s="512">
        <v>65473.67</v>
      </c>
      <c r="G80" s="513" t="s">
        <v>189</v>
      </c>
      <c r="H80" s="512">
        <v>12283.9</v>
      </c>
      <c r="I80" s="525">
        <v>0.3</v>
      </c>
      <c r="K80" s="512">
        <v>98210.5</v>
      </c>
      <c r="L80" s="513" t="s">
        <v>189</v>
      </c>
      <c r="M80" s="512">
        <v>18425.849999999999</v>
      </c>
      <c r="N80" s="525">
        <v>0.3</v>
      </c>
      <c r="P80" s="512">
        <v>130947.33</v>
      </c>
      <c r="Q80" s="513" t="s">
        <v>189</v>
      </c>
      <c r="R80" s="512">
        <v>24567.8</v>
      </c>
      <c r="S80" s="525">
        <v>0.3</v>
      </c>
      <c r="U80" s="512">
        <v>163684.16</v>
      </c>
      <c r="V80" s="513" t="s">
        <v>189</v>
      </c>
      <c r="W80" s="512">
        <v>30709.75</v>
      </c>
      <c r="X80" s="525">
        <v>0.3</v>
      </c>
      <c r="Z80" s="512">
        <v>196420.99</v>
      </c>
      <c r="AA80" s="513" t="s">
        <v>189</v>
      </c>
      <c r="AB80" s="512">
        <v>36851.699999999997</v>
      </c>
      <c r="AC80" s="525">
        <v>0.3</v>
      </c>
      <c r="AD80" s="271"/>
      <c r="AF80" s="512">
        <v>229157.82</v>
      </c>
      <c r="AG80" s="513" t="s">
        <v>189</v>
      </c>
      <c r="AH80" s="512">
        <v>42993.65</v>
      </c>
      <c r="AI80" s="525">
        <v>0.3</v>
      </c>
      <c r="AK80" s="512">
        <v>261894.65</v>
      </c>
      <c r="AL80" s="513" t="s">
        <v>189</v>
      </c>
      <c r="AM80" s="512">
        <v>49135.6</v>
      </c>
      <c r="AN80" s="525">
        <v>0.3</v>
      </c>
      <c r="AP80" s="512">
        <v>294631.48</v>
      </c>
      <c r="AQ80" s="513" t="s">
        <v>189</v>
      </c>
      <c r="AR80" s="512">
        <v>55277.55</v>
      </c>
      <c r="AS80" s="525">
        <v>0.3</v>
      </c>
      <c r="AU80" s="512">
        <v>327368.31</v>
      </c>
      <c r="AV80" s="513" t="s">
        <v>189</v>
      </c>
      <c r="AW80" s="512">
        <v>61419.5</v>
      </c>
      <c r="AX80" s="525">
        <v>0.3</v>
      </c>
      <c r="AZ80" s="512">
        <v>360105.14</v>
      </c>
      <c r="BA80" s="513" t="s">
        <v>189</v>
      </c>
      <c r="BB80" s="512">
        <v>67561.45</v>
      </c>
      <c r="BC80" s="525">
        <v>0.3</v>
      </c>
      <c r="BE80" s="512">
        <v>392841.97</v>
      </c>
      <c r="BF80" s="513" t="s">
        <v>595</v>
      </c>
      <c r="BG80" s="512">
        <v>73703.399999999994</v>
      </c>
      <c r="BH80" s="525">
        <v>0.3</v>
      </c>
    </row>
    <row r="81" ht="13.5" thickTop="1" x14ac:dyDescent="0.2"/>
  </sheetData>
  <sheetProtection password="8B07" sheet="1" objects="1" scenarios="1"/>
  <mergeCells count="3">
    <mergeCell ref="AC70:AD70"/>
    <mergeCell ref="AC71:AD71"/>
    <mergeCell ref="AC72:AD72"/>
  </mergeCells>
  <phoneticPr fontId="46" type="noConversion"/>
  <hyperlinks>
    <hyperlink ref="E2" location="'Menú Principa'!A1" display="Regresa al Menu Principal"/>
  </hyperlinks>
  <pageMargins left="0.70866141732283472" right="0.70866141732283472" top="0.74803149606299213" bottom="0.74803149606299213" header="0.31496062992125984" footer="0.31496062992125984"/>
  <pageSetup scale="5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G56"/>
  <sheetViews>
    <sheetView showGridLines="0" showRowColHeaders="0" workbookViewId="0">
      <selection activeCell="I10" sqref="I10"/>
    </sheetView>
  </sheetViews>
  <sheetFormatPr baseColWidth="10" defaultRowHeight="12.75" x14ac:dyDescent="0.2"/>
  <cols>
    <col min="1" max="1" width="12.28515625" style="1" customWidth="1"/>
    <col min="2" max="2" width="11.42578125" style="1"/>
    <col min="3" max="3" width="13.140625" style="1" customWidth="1"/>
    <col min="4" max="4" width="13.42578125" style="1" bestFit="1" customWidth="1"/>
    <col min="5" max="6" width="12.5703125" style="1" customWidth="1"/>
    <col min="7" max="7" width="2.42578125" style="1" customWidth="1"/>
    <col min="8" max="8" width="8" style="1" customWidth="1"/>
    <col min="9" max="18" width="11.42578125" style="1"/>
    <col min="19" max="19" width="15" style="1" customWidth="1"/>
    <col min="20" max="24" width="11.42578125" style="1"/>
    <col min="25" max="25" width="13.140625" style="1" customWidth="1"/>
    <col min="26" max="26" width="12.28515625" style="1" bestFit="1" customWidth="1"/>
    <col min="27" max="16384" width="11.42578125" style="1"/>
  </cols>
  <sheetData>
    <row r="1" spans="1:33" ht="13.5" thickBot="1" x14ac:dyDescent="0.25">
      <c r="A1" s="15" t="s">
        <v>497</v>
      </c>
    </row>
    <row r="2" spans="1:33" ht="13.5" thickBot="1" x14ac:dyDescent="0.25">
      <c r="A2" s="15" t="s">
        <v>44</v>
      </c>
      <c r="H2" s="16" t="s">
        <v>17</v>
      </c>
      <c r="I2" s="17"/>
      <c r="J2" s="423">
        <f>Diaria!K2</f>
        <v>57.46</v>
      </c>
      <c r="K2" s="37"/>
      <c r="L2" s="28"/>
      <c r="M2" s="28"/>
      <c r="N2" s="28"/>
      <c r="O2" s="28"/>
    </row>
    <row r="3" spans="1:33" x14ac:dyDescent="0.2">
      <c r="A3" s="15" t="str">
        <f>Diaria!A3</f>
        <v>Ejercicio Fiscal de 2010</v>
      </c>
      <c r="D3" s="18"/>
      <c r="E3" s="59" t="s">
        <v>4</v>
      </c>
      <c r="F3" s="59" t="s">
        <v>15</v>
      </c>
      <c r="K3" s="15"/>
    </row>
    <row r="4" spans="1:33" x14ac:dyDescent="0.2">
      <c r="D4" s="58" t="s">
        <v>32</v>
      </c>
      <c r="E4" s="58" t="s">
        <v>76</v>
      </c>
      <c r="F4" s="58" t="s">
        <v>16</v>
      </c>
      <c r="R4" s="1" t="s">
        <v>18</v>
      </c>
      <c r="U4" s="1">
        <f>+J2</f>
        <v>57.46</v>
      </c>
      <c r="Z4" s="1" t="s">
        <v>8</v>
      </c>
      <c r="AB4" s="1">
        <f>+E15</f>
        <v>0</v>
      </c>
      <c r="AG4" s="25"/>
    </row>
    <row r="5" spans="1:33" x14ac:dyDescent="0.2">
      <c r="A5" s="1" t="s">
        <v>1</v>
      </c>
      <c r="C5" s="21" t="s">
        <v>47</v>
      </c>
      <c r="D5" s="366">
        <v>0</v>
      </c>
      <c r="E5" s="382">
        <f>+D5</f>
        <v>0</v>
      </c>
      <c r="F5" s="382">
        <f>+D5</f>
        <v>0</v>
      </c>
      <c r="H5" s="10"/>
      <c r="I5" s="10"/>
      <c r="J5" s="10"/>
      <c r="K5" s="10"/>
      <c r="L5" s="10"/>
      <c r="M5" s="10"/>
      <c r="N5" s="10"/>
      <c r="O5" s="10"/>
      <c r="R5" s="1" t="s">
        <v>19</v>
      </c>
      <c r="U5" s="1">
        <f>+U4*3</f>
        <v>172.38</v>
      </c>
      <c r="Z5" s="1" t="s">
        <v>9</v>
      </c>
      <c r="AB5" s="3" t="e">
        <f>+VLOOKUP($AB$4,Semana,1)</f>
        <v>#N/A</v>
      </c>
      <c r="AG5" s="25"/>
    </row>
    <row r="6" spans="1:33" ht="13.5" thickBot="1" x14ac:dyDescent="0.25">
      <c r="A6" s="1" t="s">
        <v>48</v>
      </c>
      <c r="D6" s="366">
        <v>0</v>
      </c>
      <c r="E6" s="382">
        <f>+D6</f>
        <v>0</v>
      </c>
      <c r="F6" s="382">
        <f>IF(D6&lt;($D$5*0.1),0,+D6-($D$5*0.1))</f>
        <v>0</v>
      </c>
      <c r="H6" s="10"/>
      <c r="I6" s="10"/>
      <c r="J6" s="72"/>
      <c r="K6" s="37"/>
      <c r="L6" s="28"/>
      <c r="M6" s="28"/>
      <c r="N6" s="28"/>
      <c r="O6" s="28"/>
      <c r="Z6" s="1" t="s">
        <v>10</v>
      </c>
      <c r="AB6" s="1" t="e">
        <f>+AB4-AB5</f>
        <v>#N/A</v>
      </c>
      <c r="AG6" s="25"/>
    </row>
    <row r="7" spans="1:33" x14ac:dyDescent="0.2">
      <c r="A7" s="1" t="s">
        <v>49</v>
      </c>
      <c r="D7" s="366">
        <v>0</v>
      </c>
      <c r="E7" s="382">
        <f>+D7</f>
        <v>0</v>
      </c>
      <c r="F7" s="382">
        <f>IF(D7&lt;($D$5*0.1),0,+D7-($D$5*0.1))</f>
        <v>0</v>
      </c>
      <c r="H7" s="6" t="s">
        <v>83</v>
      </c>
      <c r="I7" s="7"/>
      <c r="J7" s="8"/>
      <c r="R7" s="1" t="s">
        <v>82</v>
      </c>
      <c r="U7" s="1">
        <f>ROUND((F15/7)*J8,2)</f>
        <v>0</v>
      </c>
      <c r="Z7" s="1" t="s">
        <v>11</v>
      </c>
      <c r="AB7" s="73" t="e">
        <f>+VLOOKUP($AB$4,Semana,4)</f>
        <v>#N/A</v>
      </c>
      <c r="AG7" s="25"/>
    </row>
    <row r="8" spans="1:33" ht="13.5" thickBot="1" x14ac:dyDescent="0.25">
      <c r="A8" s="1" t="str">
        <f>"Despensa (No mayor de "&amp;T20&amp;" x sem. ) *"</f>
        <v>Despensa (No mayor de 160.86 x sem. ) *</v>
      </c>
      <c r="D8" s="366">
        <v>0</v>
      </c>
      <c r="E8" s="77">
        <v>0</v>
      </c>
      <c r="F8" s="382">
        <f>IF(D8&gt;T20,D8-T20,0)</f>
        <v>0</v>
      </c>
      <c r="H8" s="12" t="s">
        <v>16</v>
      </c>
      <c r="I8" s="13"/>
      <c r="J8" s="60">
        <v>1.0451999999999999</v>
      </c>
      <c r="K8" s="37" t="s">
        <v>47</v>
      </c>
      <c r="R8" s="1" t="s">
        <v>21</v>
      </c>
      <c r="U8" s="1">
        <f>IF(U7&gt;U5,U7-U5,0)</f>
        <v>0</v>
      </c>
      <c r="Z8" s="1" t="s">
        <v>12</v>
      </c>
      <c r="AB8" s="1" t="e">
        <f>+ROUND(AB6*AB7,2)</f>
        <v>#N/A</v>
      </c>
      <c r="AG8" s="25"/>
    </row>
    <row r="9" spans="1:33" x14ac:dyDescent="0.2">
      <c r="A9" s="1" t="s">
        <v>50</v>
      </c>
      <c r="D9" s="366">
        <v>0</v>
      </c>
      <c r="E9" s="382">
        <f>ROUND(D9/2,2)</f>
        <v>0</v>
      </c>
      <c r="F9" s="103">
        <v>0</v>
      </c>
      <c r="Z9" s="1" t="s">
        <v>13</v>
      </c>
      <c r="AB9" s="3" t="e">
        <f>+VLOOKUP($AB$4,Semana,3)</f>
        <v>#N/A</v>
      </c>
      <c r="AG9" s="25"/>
    </row>
    <row r="10" spans="1:33" x14ac:dyDescent="0.2">
      <c r="A10" s="1" t="s">
        <v>51</v>
      </c>
      <c r="D10" s="366">
        <v>0</v>
      </c>
      <c r="E10" s="382">
        <f>+D10</f>
        <v>0</v>
      </c>
      <c r="F10" s="382">
        <f>+D10</f>
        <v>0</v>
      </c>
      <c r="I10" s="23" t="s">
        <v>56</v>
      </c>
      <c r="R10" s="1" t="s">
        <v>20</v>
      </c>
      <c r="T10" s="2">
        <v>4.0000000000000001E-3</v>
      </c>
      <c r="U10" s="1">
        <f>IF(U8=0,0,ROUND(T10*U8,2))</f>
        <v>0</v>
      </c>
      <c r="Z10" s="10" t="s">
        <v>112</v>
      </c>
      <c r="AA10" s="10"/>
      <c r="AB10" s="10" t="e">
        <f>+AB8+AB9</f>
        <v>#N/A</v>
      </c>
      <c r="AC10" s="10"/>
      <c r="AG10" s="25"/>
    </row>
    <row r="11" spans="1:33" x14ac:dyDescent="0.2">
      <c r="A11" s="1" t="s">
        <v>52</v>
      </c>
      <c r="D11" s="366">
        <v>0</v>
      </c>
      <c r="E11" s="77">
        <v>0</v>
      </c>
      <c r="F11" s="382">
        <f>+D11</f>
        <v>0</v>
      </c>
      <c r="R11" s="1" t="s">
        <v>22</v>
      </c>
      <c r="T11" s="2">
        <v>2.5000000000000001E-3</v>
      </c>
      <c r="U11" s="1">
        <f>ROUND(U7*T11,2)</f>
        <v>0</v>
      </c>
      <c r="Z11" s="10" t="s">
        <v>119</v>
      </c>
      <c r="AA11" s="10"/>
      <c r="AB11" s="10" t="e">
        <f>VLOOKUP(AB4,SaSemana,3)</f>
        <v>#N/A</v>
      </c>
      <c r="AG11" s="25"/>
    </row>
    <row r="12" spans="1:33" x14ac:dyDescent="0.2">
      <c r="A12" s="1" t="s">
        <v>53</v>
      </c>
      <c r="D12" s="366">
        <v>0</v>
      </c>
      <c r="E12" s="382">
        <f>+D12</f>
        <v>0</v>
      </c>
      <c r="F12" s="382">
        <f>+D12</f>
        <v>0</v>
      </c>
      <c r="R12" s="1" t="s">
        <v>23</v>
      </c>
      <c r="T12" s="4">
        <v>3.7499999999999999E-3</v>
      </c>
      <c r="U12" s="1">
        <f>ROUND(U7*T12,2)</f>
        <v>0</v>
      </c>
      <c r="Z12" s="10"/>
      <c r="AA12" s="10"/>
      <c r="AB12" s="74" t="e">
        <f>+AB10-AB11</f>
        <v>#N/A</v>
      </c>
      <c r="AG12" s="25"/>
    </row>
    <row r="13" spans="1:33" x14ac:dyDescent="0.2">
      <c r="A13" s="1" t="s">
        <v>117</v>
      </c>
      <c r="D13" s="382">
        <f>+AB16</f>
        <v>0</v>
      </c>
      <c r="E13" s="382">
        <v>0</v>
      </c>
      <c r="F13" s="382">
        <v>0</v>
      </c>
      <c r="R13" s="1" t="s">
        <v>24</v>
      </c>
      <c r="T13" s="4">
        <v>6.2500000000000003E-3</v>
      </c>
      <c r="U13" s="1">
        <f>ROUND(U7*T13,2)</f>
        <v>0</v>
      </c>
      <c r="Z13" s="10"/>
      <c r="AA13" s="10"/>
      <c r="AB13" s="10"/>
      <c r="AG13" s="25"/>
    </row>
    <row r="14" spans="1:33" x14ac:dyDescent="0.2">
      <c r="B14" s="1" t="s">
        <v>2</v>
      </c>
      <c r="D14" s="15"/>
      <c r="E14" s="15"/>
      <c r="F14" s="15"/>
      <c r="R14" s="1" t="s">
        <v>25</v>
      </c>
      <c r="T14" s="4">
        <v>1.125E-2</v>
      </c>
      <c r="U14" s="1">
        <f>ROUND(U7*T14,2)</f>
        <v>0</v>
      </c>
      <c r="Z14" s="10"/>
      <c r="AA14" s="10"/>
      <c r="AB14" s="10"/>
      <c r="AC14" s="10"/>
      <c r="AG14" s="25"/>
    </row>
    <row r="15" spans="1:33" x14ac:dyDescent="0.2">
      <c r="C15" s="62" t="s">
        <v>3</v>
      </c>
      <c r="D15" s="382">
        <f>SUM(D5:D14)</f>
        <v>0</v>
      </c>
      <c r="E15" s="382">
        <f>SUM(E5:E14)</f>
        <v>0</v>
      </c>
      <c r="F15" s="382">
        <f>SUM(F5:F14)</f>
        <v>0</v>
      </c>
      <c r="U15" s="1">
        <f>SUM(U10:U14)</f>
        <v>0</v>
      </c>
      <c r="Z15" s="10" t="s">
        <v>60</v>
      </c>
      <c r="AA15" s="10"/>
      <c r="AB15" s="41">
        <f>IF(AB4=0,0,IF(AB12&gt;0,AB12,0))</f>
        <v>0</v>
      </c>
      <c r="AC15" s="10"/>
      <c r="AF15" s="25"/>
      <c r="AG15" s="25"/>
    </row>
    <row r="16" spans="1:33" x14ac:dyDescent="0.2">
      <c r="D16" s="15"/>
      <c r="U16" s="5">
        <v>7</v>
      </c>
      <c r="V16" s="1" t="s">
        <v>26</v>
      </c>
      <c r="Z16" s="10" t="s">
        <v>120</v>
      </c>
      <c r="AA16" s="10"/>
      <c r="AB16" s="41">
        <f>IF(AB4=0,0,IF(AB12&lt;0,AB12*-1,0))</f>
        <v>0</v>
      </c>
      <c r="AC16" s="10"/>
      <c r="AF16" s="25"/>
      <c r="AG16" s="25"/>
    </row>
    <row r="17" spans="1:29" x14ac:dyDescent="0.2">
      <c r="A17" s="1" t="s">
        <v>5</v>
      </c>
      <c r="D17" s="382">
        <f>+U17</f>
        <v>0</v>
      </c>
      <c r="U17" s="1">
        <f>ROUND(U15*U16,2)</f>
        <v>0</v>
      </c>
      <c r="AC17" s="10"/>
    </row>
    <row r="18" spans="1:29" ht="13.5" thickBot="1" x14ac:dyDescent="0.25">
      <c r="A18" s="1" t="s">
        <v>89</v>
      </c>
      <c r="D18" s="382">
        <f>+AB15</f>
        <v>0</v>
      </c>
      <c r="K18" s="10"/>
      <c r="L18" s="10"/>
      <c r="M18" s="10"/>
      <c r="N18" s="10"/>
      <c r="O18" s="10"/>
      <c r="R18" s="15" t="s">
        <v>38</v>
      </c>
      <c r="AB18" s="10"/>
    </row>
    <row r="19" spans="1:29" ht="13.5" thickBot="1" x14ac:dyDescent="0.25">
      <c r="C19" s="62" t="s">
        <v>7</v>
      </c>
      <c r="D19" s="382">
        <f>SUM(D17:D18)</f>
        <v>0</v>
      </c>
      <c r="F19" s="548" t="s">
        <v>100</v>
      </c>
      <c r="G19" s="549"/>
      <c r="H19" s="549"/>
      <c r="I19" s="549"/>
      <c r="J19" s="550"/>
      <c r="K19" s="10"/>
      <c r="L19" s="10"/>
      <c r="M19" s="10"/>
      <c r="N19" s="10"/>
      <c r="O19" s="10"/>
      <c r="R19" s="1" t="s">
        <v>42</v>
      </c>
      <c r="T19" s="1">
        <f>+ROUND(J2*0.4,2)</f>
        <v>22.98</v>
      </c>
      <c r="AB19" s="10"/>
    </row>
    <row r="20" spans="1:29" ht="13.5" thickBot="1" x14ac:dyDescent="0.25">
      <c r="D20" s="383"/>
      <c r="F20" s="6" t="s">
        <v>27</v>
      </c>
      <c r="G20" s="7"/>
      <c r="H20" s="7"/>
      <c r="I20" s="7"/>
      <c r="J20" s="8"/>
      <c r="K20" s="10"/>
      <c r="L20" s="10"/>
      <c r="M20" s="10"/>
      <c r="N20" s="10"/>
      <c r="O20" s="10"/>
      <c r="R20" s="1" t="s">
        <v>43</v>
      </c>
      <c r="T20" s="1">
        <f>ROUND(T19*7,2)</f>
        <v>160.86000000000001</v>
      </c>
      <c r="AB20" s="10"/>
    </row>
    <row r="21" spans="1:29" ht="13.5" thickBot="1" x14ac:dyDescent="0.25">
      <c r="C21" s="62" t="s">
        <v>33</v>
      </c>
      <c r="D21" s="384">
        <f>+D15-D19</f>
        <v>0</v>
      </c>
      <c r="F21" s="9" t="s">
        <v>28</v>
      </c>
      <c r="G21" s="10"/>
      <c r="H21" s="10"/>
      <c r="I21" s="10"/>
      <c r="J21" s="11"/>
      <c r="K21" s="10"/>
      <c r="L21" s="10"/>
      <c r="M21" s="10"/>
      <c r="N21" s="10"/>
      <c r="O21" s="10"/>
      <c r="AB21" s="10"/>
    </row>
    <row r="22" spans="1:29" x14ac:dyDescent="0.2">
      <c r="D22" s="383"/>
      <c r="F22" s="9" t="s">
        <v>29</v>
      </c>
      <c r="G22" s="10"/>
      <c r="I22" s="19" t="s">
        <v>35</v>
      </c>
      <c r="J22" s="11"/>
      <c r="K22" s="10"/>
      <c r="L22" s="10"/>
      <c r="M22" s="10"/>
      <c r="N22" s="10"/>
      <c r="O22" s="10"/>
      <c r="AB22" s="10"/>
    </row>
    <row r="23" spans="1:29" x14ac:dyDescent="0.2">
      <c r="A23" s="10"/>
      <c r="B23" s="10"/>
      <c r="C23" s="10"/>
      <c r="D23" s="385"/>
      <c r="F23" s="9" t="s">
        <v>30</v>
      </c>
      <c r="G23" s="10"/>
      <c r="I23" s="20" t="s">
        <v>36</v>
      </c>
      <c r="J23" s="11"/>
      <c r="AB23" s="10"/>
    </row>
    <row r="24" spans="1:29" ht="13.5" thickBot="1" x14ac:dyDescent="0.25">
      <c r="A24" s="10" t="s">
        <v>118</v>
      </c>
      <c r="B24" s="10"/>
      <c r="C24" s="10"/>
      <c r="D24" s="382">
        <f>IF(E15=0,0,AB11)</f>
        <v>0</v>
      </c>
      <c r="F24" s="12" t="s">
        <v>121</v>
      </c>
      <c r="G24" s="13"/>
      <c r="H24" s="13"/>
      <c r="I24" s="13" t="s">
        <v>34</v>
      </c>
      <c r="J24" s="14"/>
      <c r="AB24" s="10"/>
    </row>
    <row r="25" spans="1:29" x14ac:dyDescent="0.2">
      <c r="A25" s="10" t="s">
        <v>90</v>
      </c>
      <c r="B25" s="10"/>
      <c r="C25" s="10"/>
      <c r="D25" s="382">
        <f>IF(E15=0,0,AB10)</f>
        <v>0</v>
      </c>
      <c r="AB25" s="10"/>
    </row>
    <row r="26" spans="1:29" x14ac:dyDescent="0.2">
      <c r="D26" s="67"/>
      <c r="AB26" s="10"/>
    </row>
    <row r="27" spans="1:29" x14ac:dyDescent="0.2">
      <c r="D27" s="67"/>
      <c r="AB27" s="10"/>
    </row>
    <row r="28" spans="1:29" x14ac:dyDescent="0.2">
      <c r="D28" s="67"/>
      <c r="AB28" s="10"/>
    </row>
    <row r="29" spans="1:29" x14ac:dyDescent="0.2">
      <c r="D29" s="15"/>
      <c r="AB29" s="10"/>
    </row>
    <row r="30" spans="1:29" x14ac:dyDescent="0.2">
      <c r="AB30" s="10"/>
    </row>
    <row r="31" spans="1:29" x14ac:dyDescent="0.2">
      <c r="AA31" s="10"/>
      <c r="AB31" s="10"/>
    </row>
    <row r="32" spans="1:29" x14ac:dyDescent="0.2">
      <c r="AA32" s="10"/>
      <c r="AB32" s="10"/>
    </row>
    <row r="33" spans="24:28" x14ac:dyDescent="0.2">
      <c r="X33" s="10"/>
      <c r="Y33" s="10"/>
      <c r="Z33" s="10"/>
      <c r="AA33" s="10"/>
      <c r="AB33" s="10"/>
    </row>
    <row r="34" spans="24:28" x14ac:dyDescent="0.2">
      <c r="X34" s="10"/>
      <c r="Y34" s="10"/>
      <c r="Z34" s="10"/>
      <c r="AA34" s="10"/>
      <c r="AB34" s="10"/>
    </row>
    <row r="35" spans="24:28" x14ac:dyDescent="0.2">
      <c r="X35" s="10"/>
      <c r="Y35" s="10"/>
      <c r="Z35" s="10"/>
      <c r="AA35" s="10"/>
      <c r="AB35" s="10"/>
    </row>
    <row r="36" spans="24:28" x14ac:dyDescent="0.2">
      <c r="X36" s="10"/>
      <c r="Y36" s="10"/>
      <c r="Z36" s="10"/>
      <c r="AA36" s="10"/>
      <c r="AB36" s="10"/>
    </row>
    <row r="37" spans="24:28" x14ac:dyDescent="0.2">
      <c r="X37" s="10"/>
      <c r="Y37" s="10"/>
      <c r="Z37" s="10"/>
      <c r="AA37" s="10"/>
      <c r="AB37" s="10"/>
    </row>
    <row r="38" spans="24:28" x14ac:dyDescent="0.2">
      <c r="X38" s="10"/>
      <c r="Y38" s="10"/>
      <c r="Z38" s="10"/>
      <c r="AA38" s="10"/>
      <c r="AB38" s="10"/>
    </row>
    <row r="39" spans="24:28" x14ac:dyDescent="0.2">
      <c r="X39" s="10"/>
      <c r="Y39" s="10"/>
      <c r="Z39" s="10"/>
      <c r="AA39" s="10"/>
      <c r="AB39" s="10"/>
    </row>
    <row r="40" spans="24:28" x14ac:dyDescent="0.2">
      <c r="X40" s="10"/>
      <c r="Y40" s="10"/>
      <c r="Z40" s="10"/>
      <c r="AA40" s="10"/>
      <c r="AB40" s="10"/>
    </row>
    <row r="41" spans="24:28" x14ac:dyDescent="0.2">
      <c r="X41" s="10"/>
      <c r="Y41" s="10"/>
      <c r="Z41" s="10"/>
      <c r="AA41" s="10"/>
      <c r="AB41" s="10"/>
    </row>
    <row r="42" spans="24:28" x14ac:dyDescent="0.2">
      <c r="X42" s="10"/>
      <c r="Y42" s="10"/>
      <c r="Z42" s="10"/>
      <c r="AA42" s="10"/>
      <c r="AB42" s="10"/>
    </row>
    <row r="43" spans="24:28" x14ac:dyDescent="0.2">
      <c r="X43" s="10"/>
      <c r="Y43" s="10"/>
      <c r="Z43" s="10"/>
      <c r="AA43" s="10"/>
      <c r="AB43" s="10"/>
    </row>
    <row r="44" spans="24:28" x14ac:dyDescent="0.2">
      <c r="X44" s="10"/>
      <c r="Y44" s="10"/>
      <c r="Z44" s="10"/>
      <c r="AA44" s="10"/>
      <c r="AB44" s="10"/>
    </row>
    <row r="45" spans="24:28" x14ac:dyDescent="0.2">
      <c r="X45" s="10"/>
      <c r="Y45" s="10"/>
      <c r="Z45" s="10"/>
      <c r="AA45" s="10"/>
      <c r="AB45" s="10"/>
    </row>
    <row r="46" spans="24:28" x14ac:dyDescent="0.2">
      <c r="X46" s="10"/>
      <c r="Y46" s="10"/>
      <c r="Z46" s="10"/>
      <c r="AA46" s="10"/>
      <c r="AB46" s="10"/>
    </row>
    <row r="47" spans="24:28" x14ac:dyDescent="0.2">
      <c r="X47" s="10"/>
      <c r="Y47" s="10"/>
      <c r="Z47" s="10"/>
      <c r="AA47" s="10"/>
      <c r="AB47" s="10"/>
    </row>
    <row r="48" spans="24:28" x14ac:dyDescent="0.2">
      <c r="X48" s="10"/>
      <c r="Y48" s="10"/>
      <c r="Z48" s="10"/>
      <c r="AA48" s="10"/>
      <c r="AB48" s="10"/>
    </row>
    <row r="49" spans="24:28" x14ac:dyDescent="0.2">
      <c r="X49" s="10"/>
      <c r="Y49" s="10"/>
      <c r="Z49" s="10"/>
      <c r="AA49" s="10"/>
      <c r="AB49" s="10"/>
    </row>
    <row r="50" spans="24:28" x14ac:dyDescent="0.2">
      <c r="X50" s="10"/>
      <c r="Y50" s="10"/>
      <c r="Z50" s="10"/>
      <c r="AA50" s="10"/>
      <c r="AB50" s="10"/>
    </row>
    <row r="51" spans="24:28" x14ac:dyDescent="0.2">
      <c r="X51" s="10"/>
      <c r="Y51" s="10"/>
      <c r="Z51" s="10"/>
      <c r="AA51" s="10"/>
      <c r="AB51" s="10"/>
    </row>
    <row r="52" spans="24:28" x14ac:dyDescent="0.2">
      <c r="X52" s="10"/>
      <c r="Y52" s="10"/>
      <c r="Z52" s="10"/>
      <c r="AA52" s="10"/>
      <c r="AB52" s="10"/>
    </row>
    <row r="53" spans="24:28" x14ac:dyDescent="0.2">
      <c r="X53" s="10"/>
      <c r="Y53" s="10"/>
      <c r="Z53" s="10"/>
      <c r="AA53" s="10"/>
      <c r="AB53" s="10"/>
    </row>
    <row r="54" spans="24:28" x14ac:dyDescent="0.2">
      <c r="X54" s="10"/>
      <c r="Y54" s="10"/>
      <c r="Z54" s="10"/>
      <c r="AA54" s="10"/>
      <c r="AB54" s="10"/>
    </row>
    <row r="55" spans="24:28" x14ac:dyDescent="0.2">
      <c r="X55" s="10"/>
      <c r="Y55" s="10"/>
      <c r="Z55" s="10"/>
      <c r="AA55" s="10"/>
      <c r="AB55" s="10"/>
    </row>
    <row r="56" spans="24:28" x14ac:dyDescent="0.2">
      <c r="X56" s="10"/>
      <c r="Y56" s="10"/>
      <c r="Z56" s="10"/>
      <c r="AA56" s="10"/>
      <c r="AB56" s="10"/>
    </row>
  </sheetData>
  <sheetProtection sheet="1" objects="1" scenarios="1"/>
  <mergeCells count="1">
    <mergeCell ref="F19:J19"/>
  </mergeCells>
  <phoneticPr fontId="0" type="noConversion"/>
  <hyperlinks>
    <hyperlink ref="I10" location="'Menú Principa'!A1" display="Regresa al Menú Principal"/>
  </hyperlinks>
  <pageMargins left="0.75" right="0.75" top="1" bottom="1" header="0" footer="0"/>
  <pageSetup orientation="portrait" horizontalDpi="300" verticalDpi="300" r:id="rId1"/>
  <headerFooter alignWithMargins="0"/>
  <ignoredErrors>
    <ignoredError sqref="J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AH93"/>
  <sheetViews>
    <sheetView showGridLines="0" showRowColHeaders="0" workbookViewId="0">
      <selection activeCell="I10" sqref="I10"/>
    </sheetView>
  </sheetViews>
  <sheetFormatPr baseColWidth="10" defaultRowHeight="12.75" x14ac:dyDescent="0.2"/>
  <cols>
    <col min="1" max="2" width="11.42578125" style="1"/>
    <col min="3" max="3" width="13.7109375" style="1" customWidth="1"/>
    <col min="4" max="4" width="13.42578125" style="1" bestFit="1" customWidth="1"/>
    <col min="5" max="6" width="11.42578125" style="1"/>
    <col min="7" max="7" width="2.42578125" style="1" customWidth="1"/>
    <col min="8" max="8" width="8" style="1" customWidth="1"/>
    <col min="9" max="11" width="11.42578125" style="1"/>
    <col min="12" max="12" width="12.28515625" style="1" bestFit="1" customWidth="1"/>
    <col min="13" max="19" width="11.42578125" style="1"/>
    <col min="20" max="20" width="15" style="1" customWidth="1"/>
    <col min="21" max="25" width="11.42578125" style="1"/>
    <col min="26" max="26" width="13" style="1" customWidth="1"/>
    <col min="27" max="27" width="12.28515625" style="1" bestFit="1" customWidth="1"/>
    <col min="28" max="32" width="11.42578125" style="1"/>
    <col min="33" max="33" width="12.28515625" style="1" bestFit="1" customWidth="1"/>
    <col min="34" max="16384" width="11.42578125" style="1"/>
  </cols>
  <sheetData>
    <row r="1" spans="1:34" ht="13.5" thickBot="1" x14ac:dyDescent="0.25">
      <c r="A1" s="15" t="str">
        <f>+Semanal!A1</f>
        <v>SUELDOS Y SALARIOS</v>
      </c>
    </row>
    <row r="2" spans="1:34" ht="13.5" thickBot="1" x14ac:dyDescent="0.25">
      <c r="A2" s="15" t="s">
        <v>41</v>
      </c>
      <c r="H2" s="16" t="s">
        <v>17</v>
      </c>
      <c r="I2" s="17"/>
      <c r="J2" s="61">
        <f>+Semanal!J2</f>
        <v>57.46</v>
      </c>
      <c r="K2" s="37"/>
      <c r="L2" s="28"/>
      <c r="M2" s="28"/>
      <c r="N2" s="28"/>
      <c r="O2" s="28"/>
      <c r="P2" s="28"/>
    </row>
    <row r="3" spans="1:34" x14ac:dyDescent="0.2">
      <c r="A3" s="15" t="str">
        <f>Semanal!A3</f>
        <v>Ejercicio Fiscal de 2010</v>
      </c>
      <c r="D3" s="18"/>
      <c r="E3" s="59" t="s">
        <v>4</v>
      </c>
      <c r="F3" s="59" t="s">
        <v>15</v>
      </c>
    </row>
    <row r="4" spans="1:34" x14ac:dyDescent="0.2">
      <c r="D4" s="63" t="s">
        <v>32</v>
      </c>
      <c r="E4" s="58" t="s">
        <v>76</v>
      </c>
      <c r="F4" s="58" t="s">
        <v>16</v>
      </c>
      <c r="L4" s="1" t="s">
        <v>606</v>
      </c>
      <c r="S4" s="1" t="s">
        <v>18</v>
      </c>
      <c r="V4" s="1">
        <f>+J2</f>
        <v>57.46</v>
      </c>
      <c r="AA4" s="1" t="s">
        <v>8</v>
      </c>
      <c r="AC4" s="1">
        <f>+E15</f>
        <v>6890.55</v>
      </c>
      <c r="AH4" s="25"/>
    </row>
    <row r="5" spans="1:34" x14ac:dyDescent="0.2">
      <c r="A5" s="1" t="s">
        <v>37</v>
      </c>
      <c r="C5" s="21" t="s">
        <v>47</v>
      </c>
      <c r="D5" s="366">
        <v>6890.55</v>
      </c>
      <c r="E5" s="382">
        <f>+D5</f>
        <v>6890.55</v>
      </c>
      <c r="F5" s="382">
        <f>+D5</f>
        <v>6890.55</v>
      </c>
      <c r="H5" s="10"/>
      <c r="I5" s="10"/>
      <c r="J5" s="10"/>
      <c r="K5" s="10">
        <f>D5</f>
        <v>6890.55</v>
      </c>
      <c r="L5" s="10">
        <f>VLOOKUP(K5,Qna,1)</f>
        <v>5081.41</v>
      </c>
      <c r="M5" s="10"/>
      <c r="N5" s="10"/>
      <c r="O5" s="10"/>
      <c r="P5" s="10"/>
      <c r="S5" s="1" t="s">
        <v>19</v>
      </c>
      <c r="V5" s="1">
        <f>+V4*3</f>
        <v>172.38</v>
      </c>
      <c r="AA5" s="1" t="s">
        <v>9</v>
      </c>
      <c r="AC5" s="3">
        <f>+VLOOKUP($AC$4,Qna,1)</f>
        <v>5081.41</v>
      </c>
      <c r="AH5" s="25"/>
    </row>
    <row r="6" spans="1:34" ht="13.5" thickBot="1" x14ac:dyDescent="0.25">
      <c r="A6" s="1" t="s">
        <v>48</v>
      </c>
      <c r="D6" s="366">
        <v>0</v>
      </c>
      <c r="E6" s="382">
        <f>+D6</f>
        <v>0</v>
      </c>
      <c r="F6" s="382">
        <f>IF(D6&lt;($D$5*0.1),0,+D6-($D$5*0.1))</f>
        <v>0</v>
      </c>
      <c r="H6" s="10"/>
      <c r="I6" s="10"/>
      <c r="J6" s="72"/>
      <c r="K6" s="37"/>
      <c r="L6" s="28"/>
      <c r="M6" s="28"/>
      <c r="N6" s="28"/>
      <c r="O6" s="28"/>
      <c r="P6" s="28"/>
      <c r="AA6" s="1" t="s">
        <v>10</v>
      </c>
      <c r="AC6" s="1">
        <f>+AC4-AC5</f>
        <v>1809.1400000000003</v>
      </c>
      <c r="AH6" s="25"/>
    </row>
    <row r="7" spans="1:34" x14ac:dyDescent="0.2">
      <c r="A7" s="1" t="s">
        <v>49</v>
      </c>
      <c r="D7" s="366">
        <v>0</v>
      </c>
      <c r="E7" s="382">
        <f>+D7</f>
        <v>0</v>
      </c>
      <c r="F7" s="382">
        <f>IF(D7&lt;($D$5*0.1),0,+D7-($D$5*0.1))</f>
        <v>0</v>
      </c>
      <c r="H7" s="6" t="s">
        <v>84</v>
      </c>
      <c r="I7" s="7"/>
      <c r="J7" s="8"/>
      <c r="S7" s="1" t="s">
        <v>0</v>
      </c>
      <c r="V7" s="1">
        <f>ROUND((F15/15)*J8,2)</f>
        <v>490.52</v>
      </c>
      <c r="AA7" s="1" t="s">
        <v>11</v>
      </c>
      <c r="AC7" s="73">
        <f>+VLOOKUP($AC$4,Qna,4)</f>
        <v>0.21359999999999998</v>
      </c>
      <c r="AH7" s="25"/>
    </row>
    <row r="8" spans="1:34" ht="13.5" thickBot="1" x14ac:dyDescent="0.25">
      <c r="A8" s="1" t="str">
        <f>"Despensa (No mayor de "&amp;V21&amp;" x qna. )  *"</f>
        <v>Despensa (No mayor de 344.7 x qna. )  *</v>
      </c>
      <c r="D8" s="366">
        <v>0</v>
      </c>
      <c r="E8" s="77">
        <v>0</v>
      </c>
      <c r="F8" s="382">
        <f>IF(D8&gt;V21,D8-V21,0)</f>
        <v>0</v>
      </c>
      <c r="H8" s="12" t="s">
        <v>16</v>
      </c>
      <c r="I8" s="13"/>
      <c r="J8" s="60">
        <v>1.0678000000000001</v>
      </c>
      <c r="K8" s="37" t="s">
        <v>47</v>
      </c>
      <c r="S8" s="1" t="s">
        <v>21</v>
      </c>
      <c r="V8" s="1">
        <f>IF(V7&gt;V5,V7-V5,0)</f>
        <v>318.14</v>
      </c>
      <c r="AA8" s="1" t="s">
        <v>12</v>
      </c>
      <c r="AC8" s="1">
        <f>ROUND(AC6*AC7,2)</f>
        <v>386.43</v>
      </c>
      <c r="AD8" s="10"/>
      <c r="AH8" s="25"/>
    </row>
    <row r="9" spans="1:34" x14ac:dyDescent="0.2">
      <c r="A9" s="1" t="s">
        <v>50</v>
      </c>
      <c r="D9" s="366">
        <v>0</v>
      </c>
      <c r="E9" s="382">
        <f>ROUND(D9/2,2)</f>
        <v>0</v>
      </c>
      <c r="F9" s="103">
        <v>0</v>
      </c>
      <c r="AA9" s="1" t="s">
        <v>13</v>
      </c>
      <c r="AC9" s="3">
        <f>+VLOOKUP($AC$4,Qna,3)</f>
        <v>538.20000000000005</v>
      </c>
      <c r="AD9" s="10"/>
      <c r="AH9" s="25"/>
    </row>
    <row r="10" spans="1:34" x14ac:dyDescent="0.2">
      <c r="A10" s="1" t="s">
        <v>51</v>
      </c>
      <c r="D10" s="366">
        <v>0</v>
      </c>
      <c r="E10" s="382">
        <f>+D10</f>
        <v>0</v>
      </c>
      <c r="F10" s="382">
        <f>+D10</f>
        <v>0</v>
      </c>
      <c r="I10" s="24" t="s">
        <v>56</v>
      </c>
      <c r="S10" s="1" t="s">
        <v>20</v>
      </c>
      <c r="U10" s="2">
        <f>+Semanal!T10</f>
        <v>4.0000000000000001E-3</v>
      </c>
      <c r="V10" s="1">
        <f>IF(V8=0,0,ROUND(U10*V8,2))</f>
        <v>1.27</v>
      </c>
      <c r="AA10" s="1" t="s">
        <v>14</v>
      </c>
      <c r="AC10" s="1">
        <f>+AC8+AC9</f>
        <v>924.63000000000011</v>
      </c>
      <c r="AD10" s="10"/>
      <c r="AH10" s="25"/>
    </row>
    <row r="11" spans="1:34" x14ac:dyDescent="0.2">
      <c r="A11" s="1" t="s">
        <v>52</v>
      </c>
      <c r="D11" s="366">
        <v>0</v>
      </c>
      <c r="E11" s="77">
        <v>0</v>
      </c>
      <c r="F11" s="382">
        <f>+D11</f>
        <v>0</v>
      </c>
      <c r="S11" s="1" t="s">
        <v>22</v>
      </c>
      <c r="U11" s="2">
        <v>2.5000000000000001E-3</v>
      </c>
      <c r="V11" s="1">
        <f>ROUND(V7*U11,2)</f>
        <v>1.23</v>
      </c>
      <c r="AA11" s="10" t="s">
        <v>119</v>
      </c>
      <c r="AB11" s="10"/>
      <c r="AC11" s="10">
        <f>+VLOOKUP(AC4,SeQna,3)</f>
        <v>0</v>
      </c>
      <c r="AD11" s="10"/>
      <c r="AH11" s="25"/>
    </row>
    <row r="12" spans="1:34" x14ac:dyDescent="0.2">
      <c r="A12" s="1" t="s">
        <v>53</v>
      </c>
      <c r="D12" s="366">
        <v>0</v>
      </c>
      <c r="E12" s="382">
        <f>+D12</f>
        <v>0</v>
      </c>
      <c r="F12" s="382">
        <f>+D12</f>
        <v>0</v>
      </c>
      <c r="S12" s="1" t="s">
        <v>23</v>
      </c>
      <c r="U12" s="4">
        <v>3.7499999999999999E-3</v>
      </c>
      <c r="V12" s="1">
        <f>ROUND(V7*U12,2)</f>
        <v>1.84</v>
      </c>
      <c r="AA12" s="10"/>
      <c r="AB12" s="10"/>
      <c r="AC12" s="74">
        <f>+AC10-AC11</f>
        <v>924.63000000000011</v>
      </c>
      <c r="AD12" s="10"/>
      <c r="AH12" s="25"/>
    </row>
    <row r="13" spans="1:34" x14ac:dyDescent="0.2">
      <c r="A13" s="1" t="s">
        <v>122</v>
      </c>
      <c r="D13" s="382">
        <f>+AC15</f>
        <v>0</v>
      </c>
      <c r="E13" s="382">
        <v>0</v>
      </c>
      <c r="F13" s="382">
        <v>0</v>
      </c>
      <c r="S13" s="1" t="s">
        <v>24</v>
      </c>
      <c r="U13" s="4">
        <v>6.2500000000000003E-3</v>
      </c>
      <c r="V13" s="1">
        <f>ROUND(V7*U13,2)</f>
        <v>3.07</v>
      </c>
      <c r="AA13" s="10"/>
      <c r="AB13" s="10"/>
      <c r="AC13" s="10"/>
      <c r="AD13" s="10"/>
      <c r="AH13" s="25"/>
    </row>
    <row r="14" spans="1:34" x14ac:dyDescent="0.2">
      <c r="B14" s="1" t="s">
        <v>2</v>
      </c>
      <c r="D14" s="15"/>
      <c r="E14" s="15"/>
      <c r="F14" s="15"/>
      <c r="S14" s="1" t="s">
        <v>25</v>
      </c>
      <c r="U14" s="4">
        <v>1.125E-2</v>
      </c>
      <c r="V14" s="1">
        <f>ROUND(V7*U14,2)</f>
        <v>5.52</v>
      </c>
      <c r="AA14" s="10" t="s">
        <v>60</v>
      </c>
      <c r="AB14" s="10"/>
      <c r="AC14" s="41">
        <f>IF(AC4=0,0,IF(AC12&gt;0,AC12,0))</f>
        <v>924.63000000000011</v>
      </c>
      <c r="AD14" s="10"/>
      <c r="AH14" s="25"/>
    </row>
    <row r="15" spans="1:34" x14ac:dyDescent="0.2">
      <c r="C15" s="62" t="s">
        <v>3</v>
      </c>
      <c r="D15" s="382">
        <f>SUM(D5:D14)</f>
        <v>6890.55</v>
      </c>
      <c r="E15" s="382">
        <f>SUM(E5:E14)</f>
        <v>6890.55</v>
      </c>
      <c r="F15" s="382">
        <f>SUM(F5:F14)</f>
        <v>6890.55</v>
      </c>
      <c r="V15" s="1">
        <f>SUM(V10:V14)</f>
        <v>12.93</v>
      </c>
      <c r="AA15" s="10" t="s">
        <v>120</v>
      </c>
      <c r="AB15" s="10"/>
      <c r="AC15" s="41">
        <f>IF(AC4=0,0,IF(AC12&lt;0,AC12*-1,0))</f>
        <v>0</v>
      </c>
      <c r="AD15" s="10"/>
      <c r="AG15" s="25"/>
      <c r="AH15" s="25"/>
    </row>
    <row r="16" spans="1:34" x14ac:dyDescent="0.2">
      <c r="D16" s="15"/>
      <c r="V16" s="5">
        <v>15</v>
      </c>
      <c r="W16" s="1" t="s">
        <v>45</v>
      </c>
      <c r="AA16" s="10"/>
      <c r="AB16" s="10"/>
      <c r="AC16" s="10"/>
      <c r="AD16" s="10"/>
      <c r="AG16" s="25"/>
      <c r="AH16" s="25"/>
    </row>
    <row r="17" spans="1:30" x14ac:dyDescent="0.2">
      <c r="A17" s="1" t="s">
        <v>5</v>
      </c>
      <c r="D17" s="382">
        <f>+V17</f>
        <v>193.95</v>
      </c>
      <c r="V17" s="1">
        <f>ROUND(V15*V16,2)</f>
        <v>193.95</v>
      </c>
    </row>
    <row r="18" spans="1:30" ht="13.5" thickBot="1" x14ac:dyDescent="0.25">
      <c r="A18" s="1" t="s">
        <v>6</v>
      </c>
      <c r="D18" s="382">
        <f>+AC14</f>
        <v>924.63000000000011</v>
      </c>
      <c r="K18" s="10"/>
      <c r="L18" s="10"/>
      <c r="M18" s="10"/>
      <c r="N18" s="10"/>
      <c r="O18" s="10"/>
      <c r="P18" s="10"/>
    </row>
    <row r="19" spans="1:30" ht="13.5" thickBot="1" x14ac:dyDescent="0.25">
      <c r="C19" s="62" t="s">
        <v>7</v>
      </c>
      <c r="D19" s="382">
        <f>SUM(D17:D18)</f>
        <v>1118.5800000000002</v>
      </c>
      <c r="F19" s="548" t="s">
        <v>100</v>
      </c>
      <c r="G19" s="549"/>
      <c r="H19" s="549"/>
      <c r="I19" s="549"/>
      <c r="J19" s="550"/>
      <c r="K19" s="10"/>
      <c r="L19" s="10"/>
      <c r="M19" s="10"/>
      <c r="N19" s="10"/>
      <c r="O19" s="10"/>
      <c r="P19" s="10"/>
      <c r="S19" s="15" t="s">
        <v>38</v>
      </c>
    </row>
    <row r="20" spans="1:30" ht="13.5" thickBot="1" x14ac:dyDescent="0.25">
      <c r="D20" s="383"/>
      <c r="F20" s="6" t="s">
        <v>27</v>
      </c>
      <c r="G20" s="7"/>
      <c r="H20" s="7"/>
      <c r="I20" s="7"/>
      <c r="J20" s="8"/>
      <c r="K20" s="10"/>
      <c r="L20" s="10"/>
      <c r="M20" s="10"/>
      <c r="N20" s="10"/>
      <c r="O20" s="10"/>
      <c r="P20" s="10"/>
      <c r="S20" s="1" t="s">
        <v>39</v>
      </c>
      <c r="V20" s="1">
        <f>+ROUND(J2*0.4,2)</f>
        <v>22.98</v>
      </c>
    </row>
    <row r="21" spans="1:30" ht="13.5" thickBot="1" x14ac:dyDescent="0.25">
      <c r="C21" s="62" t="s">
        <v>33</v>
      </c>
      <c r="D21" s="384">
        <f>+D15-D19</f>
        <v>5771.97</v>
      </c>
      <c r="F21" s="9" t="s">
        <v>28</v>
      </c>
      <c r="G21" s="10"/>
      <c r="H21" s="10"/>
      <c r="I21" s="10"/>
      <c r="J21" s="11"/>
      <c r="K21" s="10"/>
      <c r="L21" s="10"/>
      <c r="M21" s="10"/>
      <c r="N21" s="10"/>
      <c r="O21" s="10"/>
      <c r="P21" s="10"/>
      <c r="S21" s="1" t="s">
        <v>40</v>
      </c>
      <c r="V21" s="1">
        <f>+ROUND(V20*15,2)</f>
        <v>344.7</v>
      </c>
      <c r="AC21" s="10"/>
      <c r="AD21" s="10"/>
    </row>
    <row r="22" spans="1:30" x14ac:dyDescent="0.2">
      <c r="D22" s="383"/>
      <c r="F22" s="9" t="s">
        <v>29</v>
      </c>
      <c r="G22" s="10"/>
      <c r="I22" s="19" t="s">
        <v>35</v>
      </c>
      <c r="J22" s="11"/>
      <c r="K22" s="10"/>
      <c r="L22" s="10"/>
      <c r="M22" s="10"/>
      <c r="N22" s="10"/>
      <c r="O22" s="10"/>
      <c r="P22" s="10"/>
      <c r="AC22" s="10"/>
      <c r="AD22" s="10"/>
    </row>
    <row r="23" spans="1:30" x14ac:dyDescent="0.2">
      <c r="A23" s="10"/>
      <c r="B23" s="10"/>
      <c r="C23" s="10"/>
      <c r="D23" s="385"/>
      <c r="F23" s="9" t="s">
        <v>30</v>
      </c>
      <c r="G23" s="10"/>
      <c r="I23" s="20" t="s">
        <v>36</v>
      </c>
      <c r="J23" s="11"/>
      <c r="AC23" s="10"/>
      <c r="AD23" s="10"/>
    </row>
    <row r="24" spans="1:30" ht="13.5" thickBot="1" x14ac:dyDescent="0.25">
      <c r="A24" s="10" t="str">
        <f>Semanal!A24</f>
        <v>Subsidio al empleo calculado</v>
      </c>
      <c r="B24" s="10"/>
      <c r="C24" s="10"/>
      <c r="D24" s="382">
        <f>+IF(E15=0,0,AC11)</f>
        <v>0</v>
      </c>
      <c r="F24" s="12" t="s">
        <v>31</v>
      </c>
      <c r="G24" s="13"/>
      <c r="H24" s="13"/>
      <c r="I24" s="13" t="s">
        <v>34</v>
      </c>
      <c r="J24" s="14"/>
      <c r="AC24" s="10"/>
      <c r="AD24" s="10"/>
    </row>
    <row r="25" spans="1:30" x14ac:dyDescent="0.2">
      <c r="A25" s="10" t="s">
        <v>90</v>
      </c>
      <c r="B25" s="10"/>
      <c r="C25" s="10"/>
      <c r="D25" s="382">
        <f>+IF(E15=0,0,AC10)</f>
        <v>924.63000000000011</v>
      </c>
      <c r="AC25" s="10"/>
      <c r="AD25" s="10"/>
    </row>
    <row r="26" spans="1:30" x14ac:dyDescent="0.2">
      <c r="A26" s="10"/>
      <c r="B26" s="10"/>
      <c r="C26" s="10"/>
      <c r="D26" s="67"/>
      <c r="E26" s="10"/>
      <c r="AC26" s="10"/>
      <c r="AD26" s="10"/>
    </row>
    <row r="27" spans="1:30" x14ac:dyDescent="0.2">
      <c r="A27" s="10"/>
      <c r="B27" s="10"/>
      <c r="C27" s="10"/>
      <c r="D27" s="67"/>
      <c r="E27" s="10"/>
      <c r="AC27" s="10"/>
      <c r="AD27" s="10"/>
    </row>
    <row r="28" spans="1:30" x14ac:dyDescent="0.2">
      <c r="A28" s="10"/>
      <c r="B28" s="10"/>
      <c r="C28" s="10"/>
      <c r="D28" s="67"/>
      <c r="E28" s="10"/>
      <c r="AC28" s="10"/>
      <c r="AD28" s="10"/>
    </row>
    <row r="29" spans="1:30" x14ac:dyDescent="0.2">
      <c r="A29" s="10"/>
      <c r="B29" s="10"/>
      <c r="C29" s="10"/>
      <c r="D29" s="10"/>
      <c r="E29" s="10"/>
      <c r="AC29" s="10"/>
      <c r="AD29" s="10"/>
    </row>
    <row r="30" spans="1:30" x14ac:dyDescent="0.2">
      <c r="Y30" s="10"/>
      <c r="Z30" s="10"/>
      <c r="AA30" s="10"/>
      <c r="AB30" s="10"/>
      <c r="AC30" s="10"/>
      <c r="AD30" s="10"/>
    </row>
    <row r="31" spans="1:30" x14ac:dyDescent="0.2">
      <c r="Y31" s="10"/>
      <c r="Z31" s="10"/>
      <c r="AA31" s="10"/>
      <c r="AB31" s="10"/>
      <c r="AC31" s="10"/>
      <c r="AD31" s="10"/>
    </row>
    <row r="32" spans="1:30" ht="15" x14ac:dyDescent="0.35">
      <c r="Y32" s="75"/>
      <c r="Z32" s="10"/>
      <c r="AA32" s="10"/>
      <c r="AB32" s="10"/>
      <c r="AC32" s="10"/>
      <c r="AD32" s="10"/>
    </row>
    <row r="33" spans="25:30" x14ac:dyDescent="0.2">
      <c r="Y33" s="10"/>
      <c r="Z33" s="10"/>
      <c r="AA33" s="10"/>
      <c r="AB33" s="10"/>
      <c r="AC33" s="10"/>
      <c r="AD33" s="10"/>
    </row>
    <row r="34" spans="25:30" x14ac:dyDescent="0.2">
      <c r="Y34" s="10"/>
      <c r="Z34" s="10"/>
      <c r="AA34" s="10"/>
      <c r="AB34" s="10"/>
      <c r="AC34" s="10"/>
      <c r="AD34" s="10"/>
    </row>
    <row r="35" spans="25:30" x14ac:dyDescent="0.2">
      <c r="Y35" s="10"/>
      <c r="Z35" s="10"/>
      <c r="AA35" s="10"/>
      <c r="AB35" s="10"/>
      <c r="AC35" s="10"/>
      <c r="AD35" s="10"/>
    </row>
    <row r="36" spans="25:30" x14ac:dyDescent="0.2">
      <c r="Y36" s="10"/>
      <c r="Z36" s="10"/>
      <c r="AA36" s="10"/>
      <c r="AB36" s="10"/>
      <c r="AC36" s="10"/>
      <c r="AD36" s="10"/>
    </row>
    <row r="37" spans="25:30" x14ac:dyDescent="0.2">
      <c r="Y37" s="10"/>
      <c r="Z37" s="10"/>
      <c r="AA37" s="10"/>
      <c r="AB37" s="10"/>
      <c r="AC37" s="10"/>
      <c r="AD37" s="10"/>
    </row>
    <row r="38" spans="25:30" x14ac:dyDescent="0.2">
      <c r="Y38" s="10"/>
      <c r="Z38" s="10"/>
      <c r="AA38" s="10"/>
      <c r="AB38" s="10"/>
      <c r="AC38" s="10"/>
      <c r="AD38" s="10"/>
    </row>
    <row r="39" spans="25:30" x14ac:dyDescent="0.2">
      <c r="Y39" s="10"/>
      <c r="Z39" s="10"/>
      <c r="AA39" s="76"/>
      <c r="AB39" s="10"/>
      <c r="AC39" s="10"/>
      <c r="AD39" s="10"/>
    </row>
    <row r="40" spans="25:30" x14ac:dyDescent="0.2">
      <c r="Y40" s="10"/>
      <c r="Z40" s="10"/>
      <c r="AA40" s="10"/>
      <c r="AB40" s="10"/>
      <c r="AC40" s="10"/>
      <c r="AD40" s="10"/>
    </row>
    <row r="41" spans="25:30" x14ac:dyDescent="0.2">
      <c r="Y41" s="10"/>
      <c r="Z41" s="10"/>
      <c r="AA41" s="10"/>
      <c r="AB41" s="10"/>
      <c r="AC41" s="10"/>
      <c r="AD41" s="10"/>
    </row>
    <row r="42" spans="25:30" x14ac:dyDescent="0.2">
      <c r="Y42" s="10"/>
      <c r="Z42" s="10"/>
      <c r="AA42" s="10"/>
      <c r="AB42" s="10"/>
      <c r="AC42" s="10"/>
      <c r="AD42" s="10"/>
    </row>
    <row r="43" spans="25:30" x14ac:dyDescent="0.2">
      <c r="Y43" s="10"/>
      <c r="Z43" s="10"/>
      <c r="AA43" s="10"/>
      <c r="AB43" s="10"/>
      <c r="AC43" s="10"/>
      <c r="AD43" s="10"/>
    </row>
    <row r="44" spans="25:30" x14ac:dyDescent="0.2">
      <c r="Y44" s="10"/>
      <c r="Z44" s="10"/>
      <c r="AA44" s="10"/>
      <c r="AB44" s="10"/>
      <c r="AC44" s="10"/>
      <c r="AD44" s="10"/>
    </row>
    <row r="45" spans="25:30" x14ac:dyDescent="0.2">
      <c r="Y45" s="10"/>
      <c r="Z45" s="10"/>
      <c r="AA45" s="10"/>
      <c r="AB45" s="10"/>
      <c r="AC45" s="10"/>
      <c r="AD45" s="10"/>
    </row>
    <row r="46" spans="25:30" x14ac:dyDescent="0.2">
      <c r="Y46" s="10"/>
      <c r="Z46" s="10"/>
      <c r="AA46" s="10"/>
      <c r="AB46" s="10"/>
      <c r="AC46" s="10"/>
      <c r="AD46" s="10"/>
    </row>
    <row r="47" spans="25:30" x14ac:dyDescent="0.2">
      <c r="Y47" s="10"/>
      <c r="Z47" s="10"/>
      <c r="AA47" s="10"/>
      <c r="AB47" s="10"/>
      <c r="AC47" s="10"/>
      <c r="AD47" s="10"/>
    </row>
    <row r="48" spans="25:30" x14ac:dyDescent="0.2">
      <c r="Y48" s="10"/>
      <c r="Z48" s="10"/>
      <c r="AA48" s="10"/>
      <c r="AB48" s="10"/>
      <c r="AC48" s="10"/>
      <c r="AD48" s="10"/>
    </row>
    <row r="49" spans="25:30" x14ac:dyDescent="0.2">
      <c r="Y49" s="10"/>
      <c r="Z49" s="10"/>
      <c r="AA49" s="10"/>
      <c r="AB49" s="10"/>
      <c r="AC49" s="10"/>
      <c r="AD49" s="10"/>
    </row>
    <row r="50" spans="25:30" x14ac:dyDescent="0.2">
      <c r="Y50" s="10"/>
      <c r="Z50" s="10"/>
      <c r="AA50" s="10"/>
      <c r="AB50" s="10"/>
      <c r="AC50" s="10"/>
      <c r="AD50" s="10"/>
    </row>
    <row r="51" spans="25:30" x14ac:dyDescent="0.2">
      <c r="Y51" s="10"/>
      <c r="Z51" s="10"/>
      <c r="AA51" s="10"/>
      <c r="AB51" s="10"/>
      <c r="AC51" s="10"/>
      <c r="AD51" s="10"/>
    </row>
    <row r="52" spans="25:30" x14ac:dyDescent="0.2">
      <c r="Y52" s="10"/>
      <c r="Z52" s="10"/>
      <c r="AA52" s="10"/>
      <c r="AB52" s="10"/>
      <c r="AC52" s="10"/>
      <c r="AD52" s="10"/>
    </row>
    <row r="53" spans="25:30" x14ac:dyDescent="0.2">
      <c r="Y53" s="10"/>
      <c r="Z53" s="10"/>
      <c r="AA53" s="10"/>
      <c r="AB53" s="10"/>
      <c r="AC53" s="10"/>
      <c r="AD53" s="10"/>
    </row>
    <row r="54" spans="25:30" x14ac:dyDescent="0.2">
      <c r="Y54" s="10"/>
      <c r="Z54" s="10"/>
      <c r="AA54" s="10"/>
      <c r="AB54" s="10"/>
      <c r="AC54" s="10"/>
      <c r="AD54" s="10"/>
    </row>
    <row r="55" spans="25:30" x14ac:dyDescent="0.2">
      <c r="Y55" s="10"/>
      <c r="Z55" s="10"/>
      <c r="AA55" s="10"/>
      <c r="AB55" s="10"/>
      <c r="AC55" s="10"/>
      <c r="AD55" s="10"/>
    </row>
    <row r="56" spans="25:30" x14ac:dyDescent="0.2">
      <c r="Y56" s="10"/>
      <c r="Z56" s="10"/>
      <c r="AA56" s="10"/>
      <c r="AB56" s="10"/>
      <c r="AC56" s="10"/>
      <c r="AD56" s="10"/>
    </row>
    <row r="57" spans="25:30" x14ac:dyDescent="0.2">
      <c r="Y57" s="10"/>
      <c r="Z57" s="10"/>
      <c r="AA57" s="10"/>
      <c r="AB57" s="10"/>
      <c r="AC57" s="10"/>
      <c r="AD57" s="10"/>
    </row>
    <row r="58" spans="25:30" x14ac:dyDescent="0.2">
      <c r="Y58" s="10"/>
      <c r="Z58" s="10"/>
      <c r="AA58" s="10"/>
      <c r="AB58" s="10"/>
      <c r="AC58" s="10"/>
      <c r="AD58" s="10"/>
    </row>
    <row r="59" spans="25:30" x14ac:dyDescent="0.2">
      <c r="Y59" s="10"/>
      <c r="Z59" s="10"/>
      <c r="AA59" s="10"/>
      <c r="AB59" s="10"/>
      <c r="AC59" s="10"/>
      <c r="AD59" s="10"/>
    </row>
    <row r="60" spans="25:30" x14ac:dyDescent="0.2">
      <c r="Y60" s="10"/>
      <c r="Z60" s="10"/>
      <c r="AA60" s="10"/>
      <c r="AB60" s="10"/>
      <c r="AC60" s="10"/>
      <c r="AD60" s="10"/>
    </row>
    <row r="61" spans="25:30" x14ac:dyDescent="0.2">
      <c r="Y61" s="10"/>
      <c r="Z61" s="10"/>
      <c r="AA61" s="10"/>
      <c r="AB61" s="10"/>
      <c r="AC61" s="10"/>
      <c r="AD61" s="10"/>
    </row>
    <row r="62" spans="25:30" x14ac:dyDescent="0.2">
      <c r="Y62" s="10"/>
      <c r="Z62" s="10"/>
      <c r="AA62" s="10"/>
      <c r="AB62" s="10"/>
      <c r="AC62" s="10"/>
      <c r="AD62" s="10"/>
    </row>
    <row r="63" spans="25:30" x14ac:dyDescent="0.2">
      <c r="Y63" s="10"/>
      <c r="Z63" s="10"/>
      <c r="AA63" s="10"/>
      <c r="AB63" s="10"/>
      <c r="AC63" s="10"/>
      <c r="AD63" s="10"/>
    </row>
    <row r="64" spans="25:30" x14ac:dyDescent="0.2">
      <c r="Y64" s="10"/>
      <c r="Z64" s="10"/>
      <c r="AA64" s="10"/>
      <c r="AB64" s="10"/>
      <c r="AC64" s="10"/>
      <c r="AD64" s="10"/>
    </row>
    <row r="65" spans="25:30" x14ac:dyDescent="0.2">
      <c r="Y65" s="10"/>
      <c r="Z65" s="10"/>
      <c r="AA65" s="10"/>
      <c r="AB65" s="10"/>
      <c r="AC65" s="10"/>
      <c r="AD65" s="10"/>
    </row>
    <row r="66" spans="25:30" x14ac:dyDescent="0.2">
      <c r="Y66" s="10"/>
      <c r="Z66" s="10"/>
      <c r="AA66" s="10"/>
      <c r="AB66" s="10"/>
      <c r="AC66" s="10"/>
      <c r="AD66" s="10"/>
    </row>
    <row r="67" spans="25:30" x14ac:dyDescent="0.2">
      <c r="Y67" s="10"/>
      <c r="Z67" s="10"/>
      <c r="AA67" s="10"/>
      <c r="AB67" s="10"/>
      <c r="AC67" s="10"/>
      <c r="AD67" s="10"/>
    </row>
    <row r="68" spans="25:30" x14ac:dyDescent="0.2">
      <c r="Y68" s="10"/>
      <c r="Z68" s="10"/>
      <c r="AA68" s="10"/>
      <c r="AB68" s="10"/>
      <c r="AC68" s="10"/>
      <c r="AD68" s="10"/>
    </row>
    <row r="69" spans="25:30" x14ac:dyDescent="0.2">
      <c r="Y69" s="10"/>
      <c r="Z69" s="10"/>
      <c r="AA69" s="10"/>
      <c r="AB69" s="10"/>
      <c r="AC69" s="10"/>
      <c r="AD69" s="10"/>
    </row>
    <row r="70" spans="25:30" x14ac:dyDescent="0.2">
      <c r="Y70" s="10"/>
      <c r="Z70" s="10"/>
      <c r="AA70" s="10"/>
      <c r="AB70" s="10"/>
      <c r="AC70" s="10"/>
      <c r="AD70" s="10"/>
    </row>
    <row r="71" spans="25:30" x14ac:dyDescent="0.2">
      <c r="Y71" s="10"/>
      <c r="Z71" s="10"/>
      <c r="AA71" s="10"/>
      <c r="AB71" s="10"/>
      <c r="AC71" s="10"/>
      <c r="AD71" s="10"/>
    </row>
    <row r="72" spans="25:30" x14ac:dyDescent="0.2">
      <c r="Y72" s="10"/>
      <c r="Z72" s="10"/>
      <c r="AA72" s="10"/>
      <c r="AB72" s="10"/>
      <c r="AC72" s="10"/>
      <c r="AD72" s="10"/>
    </row>
    <row r="73" spans="25:30" x14ac:dyDescent="0.2">
      <c r="Y73" s="10"/>
      <c r="Z73" s="10"/>
      <c r="AA73" s="10"/>
      <c r="AB73" s="10"/>
      <c r="AC73" s="10"/>
      <c r="AD73" s="10"/>
    </row>
    <row r="74" spans="25:30" x14ac:dyDescent="0.2">
      <c r="Y74" s="10"/>
      <c r="Z74" s="10"/>
      <c r="AA74" s="10"/>
      <c r="AB74" s="10"/>
      <c r="AC74" s="10"/>
      <c r="AD74" s="10"/>
    </row>
    <row r="75" spans="25:30" x14ac:dyDescent="0.2">
      <c r="Y75" s="10"/>
      <c r="Z75" s="10"/>
      <c r="AA75" s="10"/>
      <c r="AB75" s="10"/>
      <c r="AC75" s="10"/>
      <c r="AD75" s="10"/>
    </row>
    <row r="76" spans="25:30" x14ac:dyDescent="0.2">
      <c r="Y76" s="10"/>
      <c r="Z76" s="10"/>
      <c r="AA76" s="10"/>
      <c r="AB76" s="10"/>
      <c r="AC76" s="10"/>
      <c r="AD76" s="10"/>
    </row>
    <row r="77" spans="25:30" x14ac:dyDescent="0.2">
      <c r="Y77" s="10"/>
      <c r="Z77" s="10"/>
      <c r="AA77" s="10"/>
      <c r="AB77" s="10"/>
      <c r="AC77" s="10"/>
      <c r="AD77" s="10"/>
    </row>
    <row r="78" spans="25:30" x14ac:dyDescent="0.2">
      <c r="Y78" s="10"/>
      <c r="Z78" s="10"/>
      <c r="AA78" s="10"/>
      <c r="AB78" s="10"/>
      <c r="AC78" s="10"/>
      <c r="AD78" s="10"/>
    </row>
    <row r="79" spans="25:30" x14ac:dyDescent="0.2">
      <c r="Y79" s="10"/>
      <c r="Z79" s="10"/>
      <c r="AA79" s="10"/>
      <c r="AB79" s="10"/>
      <c r="AC79" s="10"/>
      <c r="AD79" s="10"/>
    </row>
    <row r="80" spans="25:30" x14ac:dyDescent="0.2">
      <c r="Y80" s="10"/>
      <c r="Z80" s="10"/>
      <c r="AA80" s="10"/>
      <c r="AB80" s="10"/>
      <c r="AC80" s="10"/>
      <c r="AD80" s="10"/>
    </row>
    <row r="81" spans="25:30" x14ac:dyDescent="0.2">
      <c r="Y81" s="10"/>
      <c r="Z81" s="10"/>
      <c r="AA81" s="10"/>
      <c r="AB81" s="10"/>
      <c r="AC81" s="10"/>
      <c r="AD81" s="10"/>
    </row>
    <row r="82" spans="25:30" x14ac:dyDescent="0.2">
      <c r="Y82" s="10"/>
      <c r="Z82" s="10"/>
      <c r="AA82" s="10"/>
      <c r="AB82" s="10"/>
      <c r="AC82" s="10"/>
      <c r="AD82" s="10"/>
    </row>
    <row r="83" spans="25:30" x14ac:dyDescent="0.2">
      <c r="Y83" s="10"/>
      <c r="Z83" s="10"/>
      <c r="AA83" s="10"/>
      <c r="AB83" s="10"/>
      <c r="AC83" s="10"/>
      <c r="AD83" s="10"/>
    </row>
    <row r="84" spans="25:30" x14ac:dyDescent="0.2">
      <c r="Y84" s="10"/>
      <c r="Z84" s="10"/>
      <c r="AA84" s="10"/>
      <c r="AB84" s="10"/>
      <c r="AC84" s="10"/>
      <c r="AD84" s="10"/>
    </row>
    <row r="85" spans="25:30" x14ac:dyDescent="0.2">
      <c r="Y85" s="10"/>
      <c r="Z85" s="10"/>
      <c r="AA85" s="10"/>
      <c r="AB85" s="10"/>
      <c r="AC85" s="10"/>
      <c r="AD85" s="10"/>
    </row>
    <row r="86" spans="25:30" x14ac:dyDescent="0.2">
      <c r="Y86" s="10"/>
      <c r="Z86" s="10"/>
      <c r="AA86" s="10"/>
      <c r="AB86" s="10"/>
      <c r="AC86" s="10"/>
      <c r="AD86" s="10"/>
    </row>
    <row r="87" spans="25:30" x14ac:dyDescent="0.2">
      <c r="Y87" s="10"/>
      <c r="Z87" s="10"/>
      <c r="AA87" s="10"/>
      <c r="AB87" s="10"/>
      <c r="AC87" s="10"/>
      <c r="AD87" s="10"/>
    </row>
    <row r="88" spans="25:30" x14ac:dyDescent="0.2">
      <c r="Y88" s="10"/>
      <c r="Z88" s="10"/>
      <c r="AA88" s="10"/>
      <c r="AB88" s="10"/>
      <c r="AC88" s="10"/>
      <c r="AD88" s="10"/>
    </row>
    <row r="89" spans="25:30" x14ac:dyDescent="0.2">
      <c r="Y89" s="10"/>
      <c r="Z89" s="10"/>
      <c r="AA89" s="10"/>
      <c r="AB89" s="10"/>
      <c r="AC89" s="10"/>
      <c r="AD89" s="10"/>
    </row>
    <row r="90" spans="25:30" x14ac:dyDescent="0.2">
      <c r="Y90" s="10"/>
      <c r="Z90" s="10"/>
      <c r="AA90" s="10"/>
      <c r="AB90" s="10"/>
      <c r="AC90" s="10"/>
      <c r="AD90" s="10"/>
    </row>
    <row r="91" spans="25:30" x14ac:dyDescent="0.2">
      <c r="Y91" s="10"/>
      <c r="Z91" s="10"/>
      <c r="AA91" s="10"/>
      <c r="AB91" s="10"/>
      <c r="AC91" s="10"/>
      <c r="AD91" s="10"/>
    </row>
    <row r="92" spans="25:30" x14ac:dyDescent="0.2">
      <c r="Y92" s="10"/>
      <c r="Z92" s="10"/>
      <c r="AA92" s="10"/>
      <c r="AB92" s="10"/>
      <c r="AC92" s="10"/>
      <c r="AD92" s="10"/>
    </row>
    <row r="93" spans="25:30" x14ac:dyDescent="0.2">
      <c r="Y93" s="10"/>
      <c r="Z93" s="10"/>
      <c r="AA93" s="10"/>
      <c r="AB93" s="10"/>
      <c r="AC93" s="10"/>
      <c r="AD93" s="10"/>
    </row>
  </sheetData>
  <mergeCells count="1">
    <mergeCell ref="F19:J19"/>
  </mergeCells>
  <phoneticPr fontId="0" type="noConversion"/>
  <hyperlinks>
    <hyperlink ref="I10" location="'Menú Principa'!A1" display="'Menú Principa'!A1"/>
  </hyperlinks>
  <pageMargins left="0.75" right="0.75" top="1" bottom="1" header="0" footer="0"/>
  <pageSetup scale="85" orientation="portrait" horizontalDpi="4294967295" verticalDpi="300" r:id="rId1"/>
  <headerFooter alignWithMargins="0"/>
  <ignoredErrors>
    <ignoredError sqref="J2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BB60"/>
  <sheetViews>
    <sheetView showGridLines="0" showRowColHeaders="0" tabSelected="1" topLeftCell="A13" zoomScaleNormal="100" workbookViewId="0">
      <selection activeCell="D6" sqref="D6"/>
    </sheetView>
  </sheetViews>
  <sheetFormatPr baseColWidth="10" defaultRowHeight="12.75" x14ac:dyDescent="0.2"/>
  <cols>
    <col min="1" max="2" width="11.42578125" style="1"/>
    <col min="3" max="3" width="13.7109375" style="1" customWidth="1"/>
    <col min="4" max="4" width="13.42578125" style="1" bestFit="1" customWidth="1"/>
    <col min="5" max="6" width="11.42578125" style="1"/>
    <col min="7" max="7" width="2.42578125" style="1" customWidth="1"/>
    <col min="8" max="8" width="8" style="1" customWidth="1"/>
    <col min="9" max="9" width="14.28515625" style="1" customWidth="1"/>
    <col min="10" max="23" width="11.42578125" style="1"/>
    <col min="24" max="24" width="15" style="1" customWidth="1"/>
    <col min="25" max="29" width="11.42578125" style="1"/>
    <col min="30" max="30" width="12.85546875" style="1" bestFit="1" customWidth="1"/>
    <col min="31" max="31" width="12.28515625" style="1" bestFit="1" customWidth="1"/>
    <col min="32" max="52" width="11.42578125" style="1"/>
    <col min="53" max="53" width="12.28515625" style="1" bestFit="1" customWidth="1"/>
    <col min="54" max="16384" width="11.42578125" style="1"/>
  </cols>
  <sheetData>
    <row r="1" spans="1:54" ht="13.5" thickBot="1" x14ac:dyDescent="0.25">
      <c r="A1" s="15" t="str">
        <f>+Quincenal!A1</f>
        <v>SUELDOS Y SALARIOS</v>
      </c>
    </row>
    <row r="2" spans="1:54" ht="13.5" thickBot="1" x14ac:dyDescent="0.25">
      <c r="A2" s="15" t="s">
        <v>98</v>
      </c>
      <c r="H2" s="16" t="s">
        <v>17</v>
      </c>
      <c r="I2" s="17"/>
      <c r="J2" s="61">
        <f>+Quincenal!J2</f>
        <v>57.46</v>
      </c>
      <c r="K2" s="37"/>
      <c r="L2" s="28"/>
      <c r="M2" s="28"/>
      <c r="N2" s="28"/>
      <c r="O2" s="28"/>
      <c r="P2" s="28"/>
      <c r="Q2" s="28"/>
      <c r="R2" s="28"/>
      <c r="S2" s="28"/>
      <c r="T2" s="28"/>
      <c r="AC2" s="1" t="s">
        <v>8</v>
      </c>
      <c r="AE2" s="1">
        <f>+E15</f>
        <v>13264.13</v>
      </c>
      <c r="AG2" s="23" t="s">
        <v>523</v>
      </c>
    </row>
    <row r="3" spans="1:54" x14ac:dyDescent="0.2">
      <c r="A3" s="15" t="str">
        <f>Quincenal!A3</f>
        <v>Ejercicio Fiscal de 2010</v>
      </c>
      <c r="D3" s="18"/>
      <c r="E3" s="59" t="s">
        <v>4</v>
      </c>
      <c r="F3" s="59" t="s">
        <v>15</v>
      </c>
      <c r="AC3" s="1" t="s">
        <v>9</v>
      </c>
      <c r="AE3" s="3">
        <f>VLOOKUP($AE$2,Mensual,1)</f>
        <v>10298.36</v>
      </c>
      <c r="AX3" s="1" t="s">
        <v>113</v>
      </c>
      <c r="BA3" s="1">
        <v>8965.7999999999993</v>
      </c>
      <c r="BB3" s="1" t="s">
        <v>47</v>
      </c>
    </row>
    <row r="4" spans="1:54" x14ac:dyDescent="0.2">
      <c r="D4" s="63" t="s">
        <v>32</v>
      </c>
      <c r="E4" s="58" t="s">
        <v>76</v>
      </c>
      <c r="F4" s="58" t="s">
        <v>16</v>
      </c>
      <c r="L4" s="10"/>
      <c r="M4" s="10"/>
      <c r="N4" s="10"/>
      <c r="O4" s="10"/>
      <c r="P4" s="10"/>
      <c r="Q4" s="10"/>
      <c r="R4" s="10"/>
      <c r="S4" s="10"/>
      <c r="T4" s="10" t="s">
        <v>85</v>
      </c>
      <c r="W4" s="1" t="s">
        <v>18</v>
      </c>
      <c r="Z4" s="1">
        <f>+J2</f>
        <v>57.46</v>
      </c>
      <c r="AC4" s="1" t="s">
        <v>10</v>
      </c>
      <c r="AE4" s="1">
        <f>+AE2-AE3</f>
        <v>2965.7699999999986</v>
      </c>
      <c r="AL4" s="25"/>
      <c r="AM4" s="25"/>
      <c r="AN4" s="25"/>
      <c r="AO4" s="25"/>
      <c r="AP4" s="25"/>
      <c r="AQ4" s="25"/>
      <c r="AR4" s="25"/>
      <c r="AS4" s="25"/>
      <c r="AT4" s="25"/>
      <c r="AX4" s="1" t="s">
        <v>108</v>
      </c>
      <c r="BA4" s="1">
        <v>2842.15</v>
      </c>
      <c r="BB4" s="1" t="s">
        <v>47</v>
      </c>
    </row>
    <row r="5" spans="1:54" x14ac:dyDescent="0.2">
      <c r="A5" s="1" t="s">
        <v>65</v>
      </c>
      <c r="C5" s="21" t="s">
        <v>47</v>
      </c>
      <c r="D5" s="366">
        <v>13264.13</v>
      </c>
      <c r="E5" s="382">
        <f>+D5</f>
        <v>13264.13</v>
      </c>
      <c r="F5" s="382">
        <f>+D5</f>
        <v>13264.13</v>
      </c>
      <c r="H5" s="10"/>
      <c r="I5" s="10"/>
      <c r="J5" s="10"/>
      <c r="K5" s="10"/>
      <c r="L5" s="28"/>
      <c r="M5" s="28"/>
      <c r="N5" s="28"/>
      <c r="O5" s="28"/>
      <c r="P5" s="28"/>
      <c r="Q5" s="28"/>
      <c r="R5" s="28"/>
      <c r="S5" s="28"/>
      <c r="T5" s="40" t="s">
        <v>86</v>
      </c>
      <c r="V5" s="1">
        <f>ROUND(J2*25,2)</f>
        <v>1436.5</v>
      </c>
      <c r="W5" s="1" t="s">
        <v>19</v>
      </c>
      <c r="Z5" s="1">
        <f>+Z4*3</f>
        <v>172.38</v>
      </c>
      <c r="AC5" s="1" t="s">
        <v>11</v>
      </c>
      <c r="AE5" s="73">
        <f>VLOOKUP($AE$2,Mensual,4)</f>
        <v>0.21359999999999998</v>
      </c>
      <c r="AL5" s="25"/>
      <c r="AM5" s="25"/>
      <c r="AN5" s="25"/>
      <c r="AO5" s="25"/>
      <c r="AP5" s="25"/>
      <c r="AQ5" s="25"/>
      <c r="AR5" s="25"/>
      <c r="AS5" s="25"/>
      <c r="AT5" s="25"/>
      <c r="BA5" s="3">
        <v>0</v>
      </c>
    </row>
    <row r="6" spans="1:54" ht="13.5" thickBot="1" x14ac:dyDescent="0.25">
      <c r="A6" s="1" t="s">
        <v>48</v>
      </c>
      <c r="D6" s="366"/>
      <c r="E6" s="382">
        <f>+D6</f>
        <v>0</v>
      </c>
      <c r="F6" s="382">
        <f>IF(D6&lt;($D$5*0.1),0,+D6-($D$5*0.1))</f>
        <v>0</v>
      </c>
      <c r="H6" s="10"/>
      <c r="I6" s="10"/>
      <c r="J6" s="42"/>
      <c r="K6" s="37"/>
      <c r="W6" s="1" t="s">
        <v>88</v>
      </c>
      <c r="Z6" s="1">
        <f>ROUND((F15/30)*J8,2)</f>
        <v>0</v>
      </c>
      <c r="AC6" s="1" t="s">
        <v>12</v>
      </c>
      <c r="AE6" s="1">
        <f>ROUND(AE4*AE5,2)</f>
        <v>633.49</v>
      </c>
      <c r="AF6" s="10"/>
      <c r="AL6" s="25"/>
      <c r="AM6" s="25"/>
      <c r="AN6" s="25"/>
      <c r="AO6" s="25"/>
      <c r="AP6" s="25"/>
      <c r="AQ6" s="25"/>
      <c r="AR6" s="25"/>
      <c r="AS6" s="25"/>
      <c r="AT6" s="25"/>
      <c r="AX6" s="1" t="s">
        <v>102</v>
      </c>
      <c r="BA6" s="1">
        <f>BA3+BA4</f>
        <v>11807.949999999999</v>
      </c>
    </row>
    <row r="7" spans="1:54" x14ac:dyDescent="0.2">
      <c r="A7" s="1" t="s">
        <v>49</v>
      </c>
      <c r="D7" s="366">
        <v>0</v>
      </c>
      <c r="E7" s="382">
        <f>+D7</f>
        <v>0</v>
      </c>
      <c r="F7" s="382">
        <f>IF(D7&lt;($D$5*0.1),0,+D7-($D$5*0.1))</f>
        <v>0</v>
      </c>
      <c r="H7" s="6" t="s">
        <v>84</v>
      </c>
      <c r="I7" s="7"/>
      <c r="J7" s="8"/>
      <c r="K7" s="10"/>
      <c r="W7" s="1" t="s">
        <v>87</v>
      </c>
      <c r="Z7" s="1">
        <f>IF(Z6&gt;V5,V5,Z6)</f>
        <v>0</v>
      </c>
      <c r="AC7" s="1" t="s">
        <v>13</v>
      </c>
      <c r="AE7" s="3">
        <f>VLOOKUP($AE$2,Mensual,3)</f>
        <v>1090.6199999999999</v>
      </c>
      <c r="AF7" s="10"/>
      <c r="AL7" s="25"/>
      <c r="AM7" s="25"/>
      <c r="AN7" s="25"/>
      <c r="AO7" s="25"/>
      <c r="AP7" s="25"/>
      <c r="AQ7" s="25"/>
      <c r="AR7" s="25"/>
      <c r="AS7" s="25"/>
      <c r="AT7" s="25"/>
      <c r="AX7" s="1" t="s">
        <v>103</v>
      </c>
      <c r="BA7" s="1">
        <v>2</v>
      </c>
      <c r="BB7" s="1" t="s">
        <v>47</v>
      </c>
    </row>
    <row r="8" spans="1:54" ht="13.5" thickBot="1" x14ac:dyDescent="0.25">
      <c r="A8" s="1" t="str">
        <f>"Despensa (No mayor de "&amp;Z21&amp;" x mes )      *"</f>
        <v>Despensa (No mayor de 689.4 x mes )      *</v>
      </c>
      <c r="D8" s="366">
        <v>0</v>
      </c>
      <c r="E8" s="77">
        <f>D8</f>
        <v>0</v>
      </c>
      <c r="F8" s="382">
        <f>IF(D8&gt;Z21,D8-Z21,0)</f>
        <v>0</v>
      </c>
      <c r="H8" s="12" t="s">
        <v>16</v>
      </c>
      <c r="I8" s="13"/>
      <c r="J8" s="60">
        <v>0</v>
      </c>
      <c r="K8" s="37" t="s">
        <v>47</v>
      </c>
      <c r="L8" s="10"/>
      <c r="M8" s="10"/>
      <c r="N8" s="10"/>
      <c r="W8" s="1" t="s">
        <v>21</v>
      </c>
      <c r="Z8" s="1">
        <f>IF(Z7&gt;Z5,Z7-Z5,0)</f>
        <v>0</v>
      </c>
      <c r="AC8" s="1" t="s">
        <v>14</v>
      </c>
      <c r="AE8" s="1">
        <f>IF(AE2=0,0,AE6+AE7)</f>
        <v>1724.11</v>
      </c>
      <c r="AF8" s="10"/>
      <c r="AL8" s="25"/>
      <c r="AM8" s="25"/>
      <c r="AN8" s="25"/>
      <c r="AO8" s="25"/>
      <c r="AP8" s="25"/>
      <c r="AQ8" s="25"/>
      <c r="AR8" s="25"/>
      <c r="AS8" s="25"/>
      <c r="AT8" s="25"/>
      <c r="AX8" s="1" t="s">
        <v>104</v>
      </c>
      <c r="BA8" s="1">
        <f>J2</f>
        <v>57.46</v>
      </c>
    </row>
    <row r="9" spans="1:54" x14ac:dyDescent="0.2">
      <c r="A9" s="1" t="s">
        <v>50</v>
      </c>
      <c r="D9" s="366">
        <v>0</v>
      </c>
      <c r="E9" s="382">
        <f>ROUND(D9/2,2)</f>
        <v>0</v>
      </c>
      <c r="F9" s="382">
        <v>0</v>
      </c>
      <c r="L9" s="10"/>
      <c r="M9" s="10"/>
      <c r="N9" s="10"/>
      <c r="O9" s="10"/>
      <c r="P9" s="10"/>
      <c r="Q9" s="10"/>
      <c r="R9" s="10"/>
      <c r="S9" s="10"/>
      <c r="T9" s="10"/>
      <c r="AC9" s="10" t="s">
        <v>119</v>
      </c>
      <c r="AD9" s="10"/>
      <c r="AE9" s="10">
        <f>+VLOOKUP(AE2,SeMensual,3)</f>
        <v>0</v>
      </c>
      <c r="AF9" s="10"/>
      <c r="AL9" s="25"/>
      <c r="AM9" s="25"/>
      <c r="AN9" s="25"/>
      <c r="AO9" s="25"/>
      <c r="AP9" s="25"/>
      <c r="AQ9" s="25"/>
      <c r="AR9" s="25"/>
      <c r="AS9" s="25"/>
      <c r="AT9" s="25"/>
      <c r="AX9" s="1" t="s">
        <v>105</v>
      </c>
      <c r="BA9" s="1">
        <f>ROUND(BA8*90,2)</f>
        <v>5171.3999999999996</v>
      </c>
    </row>
    <row r="10" spans="1:54" x14ac:dyDescent="0.2">
      <c r="A10" s="1" t="s">
        <v>51</v>
      </c>
      <c r="D10" s="366">
        <v>0</v>
      </c>
      <c r="E10" s="382">
        <f>+D10</f>
        <v>0</v>
      </c>
      <c r="F10" s="382">
        <f>+D10</f>
        <v>0</v>
      </c>
      <c r="H10" s="10"/>
      <c r="I10" s="24" t="s">
        <v>56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W10" s="1" t="s">
        <v>20</v>
      </c>
      <c r="Y10" s="68">
        <f>+Quincenal!U10</f>
        <v>4.0000000000000001E-3</v>
      </c>
      <c r="Z10" s="1">
        <f>IF(Z8=0,0,ROUND(Y10*Z8,2))</f>
        <v>0</v>
      </c>
      <c r="AC10" s="10"/>
      <c r="AD10" s="10"/>
      <c r="AE10" s="74">
        <f>+AE8-AE9</f>
        <v>1724.11</v>
      </c>
      <c r="AF10" s="10"/>
      <c r="AL10" s="25"/>
      <c r="AM10" s="25"/>
      <c r="AN10" s="25"/>
      <c r="AO10" s="25"/>
      <c r="AP10" s="25"/>
      <c r="AQ10" s="25"/>
      <c r="AR10" s="25"/>
      <c r="AS10" s="25"/>
      <c r="AT10" s="25"/>
      <c r="AX10" s="1" t="s">
        <v>106</v>
      </c>
      <c r="BA10" s="1">
        <f>ROUND(BA9*BA7,2)</f>
        <v>10342.799999999999</v>
      </c>
    </row>
    <row r="11" spans="1:54" x14ac:dyDescent="0.2">
      <c r="A11" s="1" t="s">
        <v>52</v>
      </c>
      <c r="D11" s="366">
        <v>0</v>
      </c>
      <c r="E11" s="77">
        <v>0</v>
      </c>
      <c r="F11" s="382">
        <f>+D11</f>
        <v>0</v>
      </c>
      <c r="H11" s="10"/>
      <c r="J11" s="10"/>
      <c r="K11" s="10"/>
      <c r="L11" s="10"/>
      <c r="M11" s="56"/>
      <c r="N11" s="10"/>
      <c r="O11" s="10"/>
      <c r="P11" s="10"/>
      <c r="Q11" s="10"/>
      <c r="R11" s="10"/>
      <c r="S11" s="10"/>
      <c r="T11" s="10"/>
      <c r="W11" s="1" t="s">
        <v>22</v>
      </c>
      <c r="Y11" s="68">
        <f>+Quincenal!U11</f>
        <v>2.5000000000000001E-3</v>
      </c>
      <c r="Z11" s="1">
        <f>ROUND(Z6*Y11,2)</f>
        <v>0</v>
      </c>
      <c r="AC11" s="10"/>
      <c r="AD11" s="10"/>
      <c r="AE11" s="10"/>
      <c r="AF11" s="10"/>
      <c r="AL11" s="25"/>
      <c r="AM11" s="25"/>
      <c r="AN11" s="25"/>
      <c r="AO11" s="25"/>
      <c r="AP11" s="25"/>
      <c r="AQ11" s="25"/>
      <c r="AR11" s="25"/>
      <c r="AS11" s="25"/>
      <c r="AT11" s="25"/>
      <c r="AX11" s="1" t="s">
        <v>107</v>
      </c>
      <c r="BA11" s="1">
        <f>IF(BA6&gt;BA10,BA6-BA10,0)</f>
        <v>1465.1499999999996</v>
      </c>
    </row>
    <row r="12" spans="1:54" x14ac:dyDescent="0.2">
      <c r="A12" s="1" t="s">
        <v>68</v>
      </c>
      <c r="D12" s="366">
        <v>0</v>
      </c>
      <c r="E12" s="382">
        <f>+D12</f>
        <v>0</v>
      </c>
      <c r="F12" s="382">
        <f>+D12</f>
        <v>0</v>
      </c>
      <c r="H12" s="10"/>
      <c r="I12" s="10"/>
      <c r="J12" s="10"/>
      <c r="K12" s="10"/>
      <c r="L12" s="10"/>
      <c r="M12" s="56"/>
      <c r="N12" s="10"/>
      <c r="O12" s="10"/>
      <c r="P12" s="10"/>
      <c r="Q12" s="10"/>
      <c r="R12" s="10"/>
      <c r="S12" s="10"/>
      <c r="T12" s="10"/>
      <c r="W12" s="1" t="s">
        <v>23</v>
      </c>
      <c r="Y12" s="68">
        <f>+Quincenal!U12</f>
        <v>3.7499999999999999E-3</v>
      </c>
      <c r="Z12" s="1">
        <f>ROUND(Z6*Y12,2)</f>
        <v>0</v>
      </c>
      <c r="AC12" s="10"/>
      <c r="AD12" s="10"/>
      <c r="AE12" s="10"/>
      <c r="AF12" s="10"/>
      <c r="AL12" s="25"/>
      <c r="AM12" s="25"/>
      <c r="AN12" s="25"/>
      <c r="AO12" s="25"/>
      <c r="AP12" s="25"/>
      <c r="AQ12" s="25"/>
      <c r="AR12" s="25"/>
      <c r="AS12" s="25"/>
      <c r="AT12" s="25"/>
    </row>
    <row r="13" spans="1:54" x14ac:dyDescent="0.2">
      <c r="A13" s="1" t="str">
        <f>+Quincenal!A13</f>
        <v>Subsidio par el empleo a favor</v>
      </c>
      <c r="D13" s="382">
        <f>+AE14</f>
        <v>0</v>
      </c>
      <c r="E13" s="382">
        <v>0</v>
      </c>
      <c r="F13" s="382">
        <v>0</v>
      </c>
      <c r="H13" s="10"/>
      <c r="I13" s="10" t="s">
        <v>499</v>
      </c>
      <c r="J13" s="10"/>
      <c r="K13" s="10"/>
      <c r="L13" s="10"/>
      <c r="M13" s="56"/>
      <c r="N13" s="10"/>
      <c r="O13" s="10"/>
      <c r="P13" s="10"/>
      <c r="Q13" s="10"/>
      <c r="R13" s="10"/>
      <c r="S13" s="10"/>
      <c r="T13" s="10"/>
      <c r="W13" s="1" t="s">
        <v>24</v>
      </c>
      <c r="Y13" s="68">
        <f>+Quincenal!U13</f>
        <v>6.2500000000000003E-3</v>
      </c>
      <c r="Z13" s="1">
        <f>ROUND(Z6*Y13,2)</f>
        <v>0</v>
      </c>
      <c r="AC13" s="10" t="s">
        <v>60</v>
      </c>
      <c r="AD13" s="10"/>
      <c r="AE13" s="41">
        <f>+IF(AE2=0,0,IF(AE10&gt;0,AE10,0))</f>
        <v>1724.11</v>
      </c>
      <c r="AF13" s="10"/>
      <c r="AL13" s="25"/>
      <c r="AM13" s="25"/>
      <c r="AN13" s="25"/>
      <c r="AO13" s="25"/>
      <c r="AP13" s="25"/>
      <c r="AQ13" s="25"/>
      <c r="AR13" s="25"/>
      <c r="AS13" s="25"/>
      <c r="AT13" s="25"/>
      <c r="AX13" s="1" t="s">
        <v>114</v>
      </c>
      <c r="BA13" s="1">
        <f>BA11/12</f>
        <v>122.0958333333333</v>
      </c>
    </row>
    <row r="14" spans="1:54" x14ac:dyDescent="0.2">
      <c r="B14" s="1" t="s">
        <v>2</v>
      </c>
      <c r="D14" s="15"/>
      <c r="E14" s="15"/>
      <c r="F14" s="15"/>
      <c r="H14" s="10"/>
      <c r="I14" s="10"/>
      <c r="J14" s="10"/>
      <c r="K14" s="10"/>
      <c r="L14" s="10"/>
      <c r="M14" s="56"/>
      <c r="N14" s="10"/>
      <c r="O14" s="10"/>
      <c r="P14" s="10"/>
      <c r="Q14" s="10"/>
      <c r="R14" s="10"/>
      <c r="S14" s="10"/>
      <c r="T14" s="10"/>
      <c r="W14" s="1" t="s">
        <v>25</v>
      </c>
      <c r="Y14" s="68">
        <f>+Quincenal!U14</f>
        <v>1.125E-2</v>
      </c>
      <c r="Z14" s="1">
        <f>ROUND(Z6*Y14,2)</f>
        <v>0</v>
      </c>
      <c r="AC14" s="10" t="s">
        <v>120</v>
      </c>
      <c r="AD14" s="10"/>
      <c r="AE14" s="41">
        <f>+IF(AE2=0,0,IF(AE10&lt;0,AE10*-1,0))</f>
        <v>0</v>
      </c>
      <c r="AF14" s="10"/>
      <c r="AL14" s="25"/>
      <c r="AM14" s="25"/>
      <c r="AN14" s="25"/>
      <c r="AO14" s="25"/>
      <c r="AP14" s="25"/>
      <c r="AQ14" s="25"/>
      <c r="AR14" s="25"/>
      <c r="AS14" s="25"/>
      <c r="AT14" s="25"/>
    </row>
    <row r="15" spans="1:54" x14ac:dyDescent="0.2">
      <c r="C15" s="62" t="s">
        <v>69</v>
      </c>
      <c r="D15" s="382">
        <f>SUM(D5:D14)</f>
        <v>13264.13</v>
      </c>
      <c r="E15" s="382">
        <f>SUM(E5:E14)</f>
        <v>13264.13</v>
      </c>
      <c r="F15" s="382">
        <f>SUM(F5:F14)</f>
        <v>13264.13</v>
      </c>
      <c r="L15" s="10"/>
      <c r="M15" s="56"/>
      <c r="N15" s="10"/>
      <c r="O15" s="10"/>
      <c r="P15" s="10"/>
      <c r="Q15" s="10"/>
      <c r="R15" s="10"/>
      <c r="S15" s="10"/>
      <c r="T15" s="10"/>
      <c r="Z15" s="1">
        <f>SUM(Z10:Z14)</f>
        <v>0</v>
      </c>
      <c r="AC15" s="10"/>
      <c r="AD15" s="10"/>
      <c r="AE15" s="10"/>
      <c r="AF15" s="10"/>
      <c r="AK15" s="25"/>
      <c r="AL15" s="25"/>
      <c r="AM15" s="25"/>
      <c r="AN15" s="25"/>
      <c r="AO15" s="25"/>
      <c r="AP15" s="25"/>
      <c r="AQ15" s="25"/>
      <c r="AR15" s="25"/>
      <c r="AS15" s="25"/>
      <c r="AT15" s="25"/>
    </row>
    <row r="16" spans="1:54" x14ac:dyDescent="0.2">
      <c r="D16" s="15"/>
      <c r="L16" s="42"/>
      <c r="M16" s="42"/>
      <c r="N16" s="42"/>
      <c r="Z16" s="5">
        <v>30</v>
      </c>
      <c r="AA16" s="1" t="s">
        <v>66</v>
      </c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X16" s="1" t="s">
        <v>0</v>
      </c>
      <c r="BA16" s="1">
        <v>99.62</v>
      </c>
      <c r="BB16" s="1" t="s">
        <v>47</v>
      </c>
    </row>
    <row r="17" spans="1:54" x14ac:dyDescent="0.2">
      <c r="A17" s="1" t="s">
        <v>5</v>
      </c>
      <c r="D17" s="382">
        <f>+Z17</f>
        <v>0</v>
      </c>
      <c r="M17" s="25"/>
      <c r="Z17" s="1">
        <f>ROUND(Z15*Z16,2)</f>
        <v>0</v>
      </c>
      <c r="AX17" s="1" t="s">
        <v>65</v>
      </c>
      <c r="BA17" s="1">
        <f>ROUND(BA16*30,2)</f>
        <v>2988.6</v>
      </c>
    </row>
    <row r="18" spans="1:54" ht="13.5" thickBot="1" x14ac:dyDescent="0.25">
      <c r="A18" s="1" t="s">
        <v>89</v>
      </c>
      <c r="D18" s="382">
        <f>+AE13</f>
        <v>1724.11</v>
      </c>
      <c r="K18" s="10"/>
      <c r="L18" s="10"/>
      <c r="M18" s="56"/>
      <c r="N18" s="10"/>
      <c r="O18" s="10"/>
      <c r="P18" s="10"/>
      <c r="Q18" s="10"/>
      <c r="R18" s="10"/>
      <c r="S18" s="10"/>
      <c r="T18" s="10"/>
      <c r="AX18" s="1" t="s">
        <v>73</v>
      </c>
      <c r="BA18" s="69">
        <v>145.27000000000001</v>
      </c>
      <c r="BB18" s="1" t="s">
        <v>111</v>
      </c>
    </row>
    <row r="19" spans="1:54" ht="13.5" thickBot="1" x14ac:dyDescent="0.25">
      <c r="C19" s="62" t="s">
        <v>7</v>
      </c>
      <c r="D19" s="382">
        <f>SUM(D17:D18)</f>
        <v>1724.11</v>
      </c>
      <c r="F19" s="548" t="s">
        <v>100</v>
      </c>
      <c r="G19" s="549"/>
      <c r="H19" s="549"/>
      <c r="I19" s="549"/>
      <c r="J19" s="550"/>
      <c r="K19" s="10"/>
      <c r="L19" s="10"/>
      <c r="M19" s="56"/>
      <c r="N19" s="10"/>
      <c r="O19" s="10"/>
      <c r="P19" s="10"/>
      <c r="Q19" s="10"/>
      <c r="R19" s="10"/>
      <c r="S19" s="10"/>
      <c r="T19" s="10"/>
      <c r="W19" s="15" t="s">
        <v>38</v>
      </c>
    </row>
    <row r="20" spans="1:54" ht="13.5" thickBot="1" x14ac:dyDescent="0.25">
      <c r="D20" s="383"/>
      <c r="F20" s="6" t="s">
        <v>27</v>
      </c>
      <c r="G20" s="7"/>
      <c r="H20" s="7"/>
      <c r="I20" s="7"/>
      <c r="J20" s="8"/>
      <c r="K20" s="10"/>
      <c r="L20" s="10"/>
      <c r="M20" s="56"/>
      <c r="N20" s="10"/>
      <c r="O20" s="10"/>
      <c r="P20" s="10"/>
      <c r="Q20" s="10"/>
      <c r="R20" s="10"/>
      <c r="S20" s="10"/>
      <c r="T20" s="10"/>
      <c r="W20" s="1" t="s">
        <v>39</v>
      </c>
      <c r="Z20" s="1">
        <f>+ROUND(J2*0.4,2)</f>
        <v>22.98</v>
      </c>
      <c r="AI20" s="54"/>
      <c r="AJ20" s="55"/>
      <c r="AK20" s="54"/>
      <c r="AX20" s="1" t="s">
        <v>109</v>
      </c>
    </row>
    <row r="21" spans="1:54" ht="13.5" thickBot="1" x14ac:dyDescent="0.25">
      <c r="C21" s="62" t="s">
        <v>33</v>
      </c>
      <c r="D21" s="384">
        <f>+D15-D19</f>
        <v>11540.019999999999</v>
      </c>
      <c r="F21" s="9" t="s">
        <v>28</v>
      </c>
      <c r="G21" s="10"/>
      <c r="H21" s="10"/>
      <c r="I21" s="10"/>
      <c r="J21" s="11"/>
      <c r="K21" s="10"/>
      <c r="L21" s="10"/>
      <c r="M21" s="56"/>
      <c r="N21" s="10"/>
      <c r="O21" s="10"/>
      <c r="P21" s="10"/>
      <c r="Q21" s="10"/>
      <c r="R21" s="10"/>
      <c r="S21" s="10"/>
      <c r="T21" s="10"/>
      <c r="W21" s="1" t="s">
        <v>67</v>
      </c>
      <c r="Z21" s="1">
        <f>+ROUND(Z20*30,2)</f>
        <v>689.4</v>
      </c>
      <c r="AG21" s="10"/>
      <c r="AI21" s="55"/>
      <c r="AJ21" s="55"/>
      <c r="AK21" s="54"/>
      <c r="AX21" s="1" t="s">
        <v>110</v>
      </c>
      <c r="BA21" s="1">
        <f>BA17+BA13</f>
        <v>3110.6958333333332</v>
      </c>
    </row>
    <row r="22" spans="1:54" x14ac:dyDescent="0.2">
      <c r="D22" s="383"/>
      <c r="F22" s="9" t="s">
        <v>29</v>
      </c>
      <c r="G22" s="10"/>
      <c r="I22" s="19" t="s">
        <v>35</v>
      </c>
      <c r="J22" s="11"/>
      <c r="K22" s="10"/>
      <c r="L22" s="10"/>
      <c r="M22" s="10"/>
      <c r="N22" s="10"/>
      <c r="O22" s="10"/>
      <c r="P22" s="10"/>
      <c r="Q22" s="10"/>
      <c r="R22" s="10"/>
      <c r="S22" s="10"/>
      <c r="T22" s="10"/>
      <c r="AG22" s="10"/>
      <c r="AI22" s="55"/>
      <c r="AJ22" s="55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X22" s="1" t="s">
        <v>112</v>
      </c>
      <c r="BA22" s="69">
        <f>AE10</f>
        <v>1724.11</v>
      </c>
    </row>
    <row r="23" spans="1:54" x14ac:dyDescent="0.2">
      <c r="A23" s="10"/>
      <c r="B23" s="10"/>
      <c r="C23" s="10"/>
      <c r="D23" s="385"/>
      <c r="F23" s="9" t="s">
        <v>30</v>
      </c>
      <c r="G23" s="10"/>
      <c r="I23" s="20" t="s">
        <v>36</v>
      </c>
      <c r="J23" s="11"/>
      <c r="AG23" s="10"/>
      <c r="AI23" s="55"/>
      <c r="AJ23" s="55"/>
      <c r="AK23" s="54"/>
      <c r="AL23" s="54"/>
      <c r="AM23" s="54"/>
      <c r="AN23" s="54"/>
      <c r="AO23" s="54"/>
      <c r="AP23" s="54"/>
      <c r="AQ23" s="54"/>
      <c r="AR23" s="54"/>
      <c r="AS23" s="54"/>
      <c r="AT23" s="54"/>
    </row>
    <row r="24" spans="1:54" ht="13.5" thickBot="1" x14ac:dyDescent="0.25">
      <c r="A24" s="10" t="str">
        <f>Quincenal!A24</f>
        <v>Subsidio al empleo calculado</v>
      </c>
      <c r="B24" s="10"/>
      <c r="C24" s="10"/>
      <c r="D24" s="386">
        <f>IF(E15=0,0,AE9)</f>
        <v>0</v>
      </c>
      <c r="F24" s="12" t="s">
        <v>31</v>
      </c>
      <c r="G24" s="13"/>
      <c r="H24" s="13"/>
      <c r="I24" s="13" t="s">
        <v>34</v>
      </c>
      <c r="J24" s="14"/>
      <c r="AG24" s="10"/>
      <c r="AH24" s="10"/>
      <c r="AI24" s="55"/>
      <c r="AJ24" s="55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BA24" s="71">
        <f>BA22-BA18</f>
        <v>1578.84</v>
      </c>
    </row>
    <row r="25" spans="1:54" x14ac:dyDescent="0.2">
      <c r="A25" s="10" t="s">
        <v>90</v>
      </c>
      <c r="B25" s="10"/>
      <c r="C25" s="10"/>
      <c r="D25" s="382">
        <f>IF(E15=0,0,AE8)</f>
        <v>1724.11</v>
      </c>
      <c r="AG25" s="10"/>
      <c r="AH25" s="10"/>
      <c r="AI25" s="55"/>
      <c r="AJ25" s="55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X25" s="1" t="s">
        <v>115</v>
      </c>
      <c r="BA25" s="70">
        <f>BA7</f>
        <v>2</v>
      </c>
    </row>
    <row r="26" spans="1:54" x14ac:dyDescent="0.2">
      <c r="A26" s="10"/>
      <c r="B26" s="10"/>
      <c r="C26" s="10"/>
      <c r="D26" s="385"/>
      <c r="E26" s="10"/>
      <c r="AG26" s="10"/>
      <c r="AH26" s="10"/>
      <c r="AI26" s="55"/>
      <c r="AJ26" s="55"/>
      <c r="AK26" s="54"/>
      <c r="AL26" s="54"/>
      <c r="AM26" s="54"/>
      <c r="AN26" s="54"/>
      <c r="AO26" s="54"/>
      <c r="AP26" s="54"/>
      <c r="AQ26" s="54"/>
      <c r="AR26" s="54"/>
      <c r="AS26" s="54"/>
      <c r="AT26" s="54"/>
    </row>
    <row r="27" spans="1:54" x14ac:dyDescent="0.2">
      <c r="A27" s="10"/>
      <c r="B27" s="10"/>
      <c r="C27" s="10"/>
      <c r="D27" s="10"/>
      <c r="E27" s="10"/>
      <c r="AG27" s="10"/>
      <c r="AH27" s="10"/>
      <c r="AI27" s="55"/>
      <c r="AJ27" s="55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X27" s="1" t="s">
        <v>116</v>
      </c>
      <c r="BA27" s="1">
        <f>ROUND(BA24*BA25,2)</f>
        <v>3157.68</v>
      </c>
    </row>
    <row r="28" spans="1:54" x14ac:dyDescent="0.2">
      <c r="A28" s="10"/>
      <c r="B28" s="10"/>
      <c r="C28" s="10"/>
      <c r="D28" s="10"/>
      <c r="E28" s="10"/>
      <c r="AG28" s="10"/>
      <c r="AH28" s="10"/>
      <c r="AI28" s="55"/>
      <c r="AJ28" s="55"/>
      <c r="AK28" s="54"/>
      <c r="AL28" s="54"/>
      <c r="AM28" s="54"/>
      <c r="AN28" s="54"/>
      <c r="AO28" s="54"/>
      <c r="AP28" s="54"/>
      <c r="AQ28" s="54"/>
      <c r="AR28" s="54"/>
      <c r="AS28" s="54"/>
      <c r="AT28" s="54"/>
    </row>
    <row r="29" spans="1:54" x14ac:dyDescent="0.2">
      <c r="A29" s="10"/>
      <c r="B29" s="10"/>
      <c r="C29" s="10"/>
      <c r="D29" s="10"/>
      <c r="E29" s="10"/>
      <c r="AG29" s="10"/>
      <c r="AH29" s="10"/>
      <c r="AI29" s="55"/>
      <c r="AJ29" s="55"/>
      <c r="AK29" s="54"/>
      <c r="AL29" s="54"/>
      <c r="AM29" s="54"/>
      <c r="AN29" s="54"/>
      <c r="AO29" s="54"/>
      <c r="AP29" s="54"/>
      <c r="AQ29" s="54"/>
      <c r="AR29" s="54"/>
      <c r="AS29" s="54"/>
      <c r="AT29" s="54"/>
    </row>
    <row r="30" spans="1:54" x14ac:dyDescent="0.2">
      <c r="AG30" s="10"/>
      <c r="AH30" s="10"/>
      <c r="AI30" s="55"/>
      <c r="AJ30" s="55"/>
      <c r="AK30" s="54"/>
    </row>
    <row r="31" spans="1:54" x14ac:dyDescent="0.2">
      <c r="AC31" s="10"/>
      <c r="AD31" s="10"/>
      <c r="AE31" s="10"/>
      <c r="AF31" s="10"/>
      <c r="AG31" s="10"/>
      <c r="AH31" s="10"/>
      <c r="AI31" s="55"/>
      <c r="AJ31" s="55"/>
      <c r="AK31" s="54"/>
    </row>
    <row r="32" spans="1:54" x14ac:dyDescent="0.2">
      <c r="AC32" s="10"/>
      <c r="AD32" s="10"/>
      <c r="AE32" s="10"/>
      <c r="AF32" s="10"/>
      <c r="AG32" s="10"/>
      <c r="AH32" s="10"/>
      <c r="AI32" s="55"/>
      <c r="AJ32" s="54"/>
      <c r="AK32" s="54"/>
    </row>
    <row r="33" spans="29:34" x14ac:dyDescent="0.2">
      <c r="AC33" s="67"/>
      <c r="AD33" s="10"/>
      <c r="AE33" s="10"/>
      <c r="AF33" s="10"/>
      <c r="AG33" s="10"/>
      <c r="AH33" s="10"/>
    </row>
    <row r="34" spans="29:34" x14ac:dyDescent="0.2">
      <c r="AC34" s="10"/>
      <c r="AD34" s="10"/>
      <c r="AE34" s="10"/>
      <c r="AF34" s="10"/>
      <c r="AG34" s="10"/>
      <c r="AH34" s="10"/>
    </row>
    <row r="35" spans="29:34" x14ac:dyDescent="0.2">
      <c r="AC35" s="10"/>
      <c r="AD35" s="10"/>
      <c r="AE35" s="10"/>
      <c r="AF35" s="10"/>
      <c r="AG35" s="10"/>
      <c r="AH35" s="10"/>
    </row>
    <row r="36" spans="29:34" x14ac:dyDescent="0.2">
      <c r="AC36" s="10"/>
      <c r="AD36" s="10"/>
      <c r="AE36" s="10"/>
      <c r="AF36" s="10"/>
      <c r="AG36" s="10"/>
      <c r="AH36" s="10"/>
    </row>
    <row r="37" spans="29:34" x14ac:dyDescent="0.2">
      <c r="AC37" s="10"/>
      <c r="AD37" s="10"/>
      <c r="AE37" s="10"/>
      <c r="AF37" s="10"/>
      <c r="AG37" s="10"/>
      <c r="AH37" s="10"/>
    </row>
    <row r="38" spans="29:34" x14ac:dyDescent="0.2">
      <c r="AC38" s="10"/>
      <c r="AD38" s="10"/>
      <c r="AE38" s="10"/>
      <c r="AF38" s="10"/>
      <c r="AG38" s="10"/>
      <c r="AH38" s="10"/>
    </row>
    <row r="39" spans="29:34" x14ac:dyDescent="0.2">
      <c r="AC39" s="10"/>
      <c r="AD39" s="10"/>
      <c r="AE39" s="10"/>
      <c r="AF39" s="10"/>
      <c r="AG39" s="10"/>
      <c r="AH39" s="10"/>
    </row>
    <row r="40" spans="29:34" x14ac:dyDescent="0.2">
      <c r="AC40" s="10"/>
      <c r="AD40" s="10"/>
      <c r="AE40" s="10"/>
      <c r="AF40" s="10"/>
      <c r="AG40" s="10"/>
      <c r="AH40" s="10"/>
    </row>
    <row r="41" spans="29:34" x14ac:dyDescent="0.2">
      <c r="AC41" s="10"/>
      <c r="AD41" s="10"/>
      <c r="AE41" s="10"/>
      <c r="AF41" s="10"/>
      <c r="AG41" s="10"/>
      <c r="AH41" s="10"/>
    </row>
    <row r="42" spans="29:34" x14ac:dyDescent="0.2">
      <c r="AC42" s="10"/>
      <c r="AD42" s="10"/>
      <c r="AE42" s="10"/>
      <c r="AF42" s="10"/>
      <c r="AG42" s="10"/>
      <c r="AH42" s="10"/>
    </row>
    <row r="43" spans="29:34" x14ac:dyDescent="0.2">
      <c r="AC43" s="10"/>
      <c r="AD43" s="10"/>
      <c r="AE43" s="10"/>
      <c r="AF43" s="10"/>
      <c r="AG43" s="10"/>
      <c r="AH43" s="10"/>
    </row>
    <row r="44" spans="29:34" x14ac:dyDescent="0.2">
      <c r="AC44" s="10"/>
      <c r="AD44" s="10"/>
      <c r="AE44" s="10"/>
      <c r="AF44" s="10"/>
      <c r="AG44" s="10"/>
      <c r="AH44" s="10"/>
    </row>
    <row r="45" spans="29:34" x14ac:dyDescent="0.2">
      <c r="AC45" s="10"/>
      <c r="AD45" s="10"/>
      <c r="AE45" s="10"/>
      <c r="AF45" s="10"/>
      <c r="AG45" s="10"/>
      <c r="AH45" s="10"/>
    </row>
    <row r="46" spans="29:34" x14ac:dyDescent="0.2">
      <c r="AC46" s="10"/>
      <c r="AD46" s="10"/>
      <c r="AE46" s="10"/>
      <c r="AF46" s="10"/>
      <c r="AG46" s="10"/>
      <c r="AH46" s="10"/>
    </row>
    <row r="47" spans="29:34" x14ac:dyDescent="0.2">
      <c r="AC47" s="10"/>
      <c r="AD47" s="10"/>
      <c r="AE47" s="10"/>
      <c r="AF47" s="10"/>
      <c r="AG47" s="10"/>
      <c r="AH47" s="10"/>
    </row>
    <row r="48" spans="29:34" x14ac:dyDescent="0.2">
      <c r="AC48" s="10"/>
      <c r="AD48" s="10"/>
      <c r="AE48" s="10"/>
      <c r="AF48" s="10"/>
      <c r="AG48" s="10"/>
      <c r="AH48" s="10"/>
    </row>
    <row r="49" spans="29:34" x14ac:dyDescent="0.2">
      <c r="AC49" s="10"/>
      <c r="AD49" s="10"/>
      <c r="AE49" s="10"/>
      <c r="AF49" s="10"/>
      <c r="AG49" s="10"/>
      <c r="AH49" s="10"/>
    </row>
    <row r="50" spans="29:34" x14ac:dyDescent="0.2">
      <c r="AC50" s="10"/>
      <c r="AD50" s="10"/>
      <c r="AE50" s="10"/>
      <c r="AF50" s="10"/>
      <c r="AG50" s="10"/>
      <c r="AH50" s="10"/>
    </row>
    <row r="51" spans="29:34" x14ac:dyDescent="0.2">
      <c r="AC51" s="10"/>
      <c r="AD51" s="10"/>
      <c r="AE51" s="10"/>
      <c r="AF51" s="10"/>
      <c r="AG51" s="10"/>
      <c r="AH51" s="10"/>
    </row>
    <row r="52" spans="29:34" x14ac:dyDescent="0.2">
      <c r="AC52" s="10"/>
      <c r="AD52" s="10"/>
      <c r="AE52" s="10"/>
      <c r="AF52" s="10"/>
      <c r="AG52" s="10"/>
      <c r="AH52" s="10"/>
    </row>
    <row r="53" spans="29:34" x14ac:dyDescent="0.2">
      <c r="AC53" s="10"/>
      <c r="AD53" s="10"/>
      <c r="AE53" s="10"/>
      <c r="AF53" s="10"/>
      <c r="AG53" s="10"/>
      <c r="AH53" s="10"/>
    </row>
    <row r="54" spans="29:34" x14ac:dyDescent="0.2">
      <c r="AC54" s="10"/>
      <c r="AD54" s="10"/>
      <c r="AE54" s="10"/>
      <c r="AF54" s="10"/>
      <c r="AG54" s="10"/>
      <c r="AH54" s="10"/>
    </row>
    <row r="55" spans="29:34" x14ac:dyDescent="0.2">
      <c r="AC55" s="10"/>
      <c r="AD55" s="10"/>
      <c r="AE55" s="10"/>
      <c r="AF55" s="10"/>
      <c r="AG55" s="10"/>
      <c r="AH55" s="10"/>
    </row>
    <row r="56" spans="29:34" x14ac:dyDescent="0.2">
      <c r="AC56" s="10"/>
      <c r="AD56" s="10"/>
      <c r="AE56" s="10"/>
      <c r="AF56" s="10"/>
      <c r="AG56" s="10"/>
      <c r="AH56" s="10"/>
    </row>
    <row r="57" spans="29:34" x14ac:dyDescent="0.2">
      <c r="AC57" s="10"/>
      <c r="AD57" s="10"/>
      <c r="AE57" s="10"/>
      <c r="AF57" s="10"/>
      <c r="AG57" s="10"/>
      <c r="AH57" s="10"/>
    </row>
    <row r="58" spans="29:34" x14ac:dyDescent="0.2">
      <c r="AC58" s="10"/>
      <c r="AD58" s="10"/>
      <c r="AE58" s="10"/>
      <c r="AF58" s="10"/>
      <c r="AG58" s="10"/>
      <c r="AH58" s="10"/>
    </row>
    <row r="59" spans="29:34" x14ac:dyDescent="0.2">
      <c r="AC59" s="10"/>
      <c r="AD59" s="10"/>
      <c r="AE59" s="10"/>
      <c r="AF59" s="10"/>
      <c r="AG59" s="10"/>
      <c r="AH59" s="10"/>
    </row>
    <row r="60" spans="29:34" x14ac:dyDescent="0.2">
      <c r="AC60" s="10"/>
      <c r="AD60" s="10"/>
      <c r="AE60" s="10"/>
      <c r="AF60" s="10"/>
      <c r="AG60" s="10"/>
      <c r="AH60" s="10"/>
    </row>
  </sheetData>
  <sheetProtection sheet="1" objects="1" scenarios="1"/>
  <mergeCells count="1">
    <mergeCell ref="F19:J19"/>
  </mergeCells>
  <phoneticPr fontId="0" type="noConversion"/>
  <hyperlinks>
    <hyperlink ref="I10" location="'Menú Principa'!A1" display="'Menú Principa'!A1"/>
    <hyperlink ref="AG2" location="Mensual!A1" display="Regresa al Menu Principal"/>
  </hyperlinks>
  <pageMargins left="0.74803149606299213" right="0.74803149606299213" top="0.98425196850393704" bottom="0.98425196850393704" header="0" footer="0"/>
  <pageSetup orientation="landscape" horizontalDpi="300" verticalDpi="300" r:id="rId1"/>
  <headerFooter alignWithMargins="0"/>
  <ignoredErrors>
    <ignoredError sqref="J2 E8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AK57"/>
  <sheetViews>
    <sheetView showGridLines="0" showRowColHeaders="0" workbookViewId="0">
      <selection activeCell="J10" sqref="J10"/>
    </sheetView>
  </sheetViews>
  <sheetFormatPr baseColWidth="10" defaultRowHeight="12.75" x14ac:dyDescent="0.2"/>
  <cols>
    <col min="1" max="2" width="11.42578125" style="1"/>
    <col min="3" max="3" width="4.42578125" style="1" customWidth="1"/>
    <col min="4" max="4" width="2.42578125" style="1" customWidth="1"/>
    <col min="5" max="5" width="14.42578125" style="1" customWidth="1"/>
    <col min="6" max="6" width="12.5703125" style="1" customWidth="1"/>
    <col min="7" max="7" width="11.42578125" style="1"/>
    <col min="8" max="8" width="2.42578125" style="1" customWidth="1"/>
    <col min="9" max="9" width="8" style="1" customWidth="1"/>
    <col min="10" max="10" width="22.5703125" style="1" customWidth="1"/>
    <col min="11" max="20" width="11.42578125" style="1"/>
    <col min="21" max="21" width="15" style="1" customWidth="1"/>
    <col min="22" max="25" width="11.42578125" style="1"/>
    <col min="26" max="26" width="17.7109375" style="1" customWidth="1"/>
    <col min="27" max="27" width="13.85546875" style="1" bestFit="1" customWidth="1"/>
    <col min="28" max="28" width="13.85546875" style="1" customWidth="1"/>
    <col min="29" max="16384" width="11.42578125" style="1"/>
  </cols>
  <sheetData>
    <row r="1" spans="1:37" ht="13.5" thickBot="1" x14ac:dyDescent="0.25">
      <c r="A1" s="15" t="str">
        <f>+Mensual!A1</f>
        <v>SUELDOS Y SALARIOS</v>
      </c>
    </row>
    <row r="2" spans="1:37" ht="13.5" thickBot="1" x14ac:dyDescent="0.25">
      <c r="A2" s="15" t="s">
        <v>77</v>
      </c>
      <c r="I2" s="16" t="s">
        <v>17</v>
      </c>
      <c r="J2" s="17"/>
      <c r="K2" s="61">
        <f>+Mensual!J2</f>
        <v>57.46</v>
      </c>
      <c r="L2" s="37"/>
      <c r="M2" s="28"/>
      <c r="N2" s="28"/>
      <c r="O2" s="28"/>
      <c r="P2" s="28"/>
      <c r="Q2" s="28"/>
      <c r="Z2" s="1" t="s">
        <v>8</v>
      </c>
      <c r="AB2" s="1">
        <f>+F15</f>
        <v>0</v>
      </c>
    </row>
    <row r="3" spans="1:37" ht="13.5" thickBot="1" x14ac:dyDescent="0.25">
      <c r="A3" s="15" t="str">
        <f>Mensual!A3</f>
        <v>Ejercicio Fiscal de 2010</v>
      </c>
      <c r="E3" s="18"/>
      <c r="F3" s="59" t="s">
        <v>4</v>
      </c>
      <c r="G3" s="39"/>
      <c r="Z3" s="1" t="s">
        <v>9</v>
      </c>
      <c r="AB3" s="3" t="e">
        <f>+VLOOKUP($AB$2,Anual,1)</f>
        <v>#N/A</v>
      </c>
    </row>
    <row r="4" spans="1:37" ht="13.5" thickBot="1" x14ac:dyDescent="0.25">
      <c r="E4" s="63" t="s">
        <v>32</v>
      </c>
      <c r="F4" s="58" t="s">
        <v>76</v>
      </c>
      <c r="G4" s="39"/>
      <c r="I4" s="43" t="s">
        <v>123</v>
      </c>
      <c r="J4" s="17"/>
      <c r="K4" s="64">
        <v>0</v>
      </c>
      <c r="L4" s="37" t="s">
        <v>47</v>
      </c>
      <c r="M4" s="10"/>
      <c r="N4" s="10"/>
      <c r="O4" s="10"/>
      <c r="P4" s="10"/>
      <c r="Q4" s="10"/>
      <c r="T4" s="1" t="s">
        <v>18</v>
      </c>
      <c r="W4" s="1">
        <f>+K2</f>
        <v>57.46</v>
      </c>
      <c r="Z4" s="1" t="s">
        <v>10</v>
      </c>
      <c r="AB4" s="1" t="e">
        <f>+AB2-AB3</f>
        <v>#N/A</v>
      </c>
      <c r="AE4" s="25"/>
      <c r="AF4" s="25"/>
      <c r="AH4" s="25"/>
      <c r="AI4" s="25"/>
    </row>
    <row r="5" spans="1:37" ht="13.5" thickBot="1" x14ac:dyDescent="0.25">
      <c r="A5" s="1" t="s">
        <v>78</v>
      </c>
      <c r="D5" s="59" t="s">
        <v>47</v>
      </c>
      <c r="E5" s="65">
        <v>0</v>
      </c>
      <c r="F5" s="78">
        <f>+E5</f>
        <v>0</v>
      </c>
      <c r="G5" s="10"/>
      <c r="I5" s="43" t="s">
        <v>91</v>
      </c>
      <c r="J5" s="17"/>
      <c r="K5" s="64">
        <v>0</v>
      </c>
      <c r="L5" s="37" t="s">
        <v>47</v>
      </c>
      <c r="M5" s="28"/>
      <c r="N5" s="28"/>
      <c r="O5" s="28"/>
      <c r="P5" s="28"/>
      <c r="Q5" s="28"/>
      <c r="T5" s="1" t="s">
        <v>19</v>
      </c>
      <c r="W5" s="1">
        <f>+W4*3</f>
        <v>172.38</v>
      </c>
      <c r="Z5" s="1" t="s">
        <v>11</v>
      </c>
      <c r="AB5" s="73" t="e">
        <f>+VLOOKUP($AB$2,Anual,4)</f>
        <v>#N/A</v>
      </c>
      <c r="AE5" s="25"/>
      <c r="AF5" s="25"/>
      <c r="AH5" s="25"/>
      <c r="AI5" s="25"/>
    </row>
    <row r="6" spans="1:37" x14ac:dyDescent="0.2">
      <c r="A6" s="1" t="s">
        <v>434</v>
      </c>
      <c r="D6" s="59" t="s">
        <v>47</v>
      </c>
      <c r="E6" s="65">
        <v>0</v>
      </c>
      <c r="F6" s="78">
        <f>+E6</f>
        <v>0</v>
      </c>
      <c r="G6" s="10"/>
      <c r="Z6" s="1" t="s">
        <v>12</v>
      </c>
      <c r="AB6" s="1" t="e">
        <f>ROUND(AB4*AB5,2)</f>
        <v>#N/A</v>
      </c>
      <c r="AC6" s="10"/>
      <c r="AE6" s="25"/>
      <c r="AF6" s="25"/>
      <c r="AH6" s="25"/>
      <c r="AI6" s="25"/>
    </row>
    <row r="7" spans="1:37" x14ac:dyDescent="0.2">
      <c r="A7" s="1" t="s">
        <v>435</v>
      </c>
      <c r="D7" s="59" t="s">
        <v>47</v>
      </c>
      <c r="E7" s="65">
        <v>0</v>
      </c>
      <c r="F7" s="78">
        <f>+E7</f>
        <v>0</v>
      </c>
      <c r="G7" s="10"/>
      <c r="I7" s="10"/>
      <c r="J7" s="10"/>
      <c r="K7" s="10"/>
      <c r="L7" s="10"/>
      <c r="T7" s="1" t="s">
        <v>0</v>
      </c>
      <c r="W7" s="1">
        <f>+G15/30</f>
        <v>0</v>
      </c>
      <c r="Z7" s="1" t="s">
        <v>13</v>
      </c>
      <c r="AB7" s="3" t="e">
        <f>+VLOOKUP($AB$2,Anual,3)</f>
        <v>#N/A</v>
      </c>
      <c r="AC7" s="10"/>
      <c r="AE7" s="25"/>
      <c r="AF7" s="25"/>
      <c r="AH7" s="45"/>
      <c r="AI7" s="45"/>
      <c r="AJ7" s="45"/>
      <c r="AK7" s="45"/>
    </row>
    <row r="8" spans="1:37" x14ac:dyDescent="0.2">
      <c r="A8" s="1" t="s">
        <v>436</v>
      </c>
      <c r="D8" s="59" t="s">
        <v>47</v>
      </c>
      <c r="E8" s="65">
        <v>0</v>
      </c>
      <c r="F8" s="366">
        <v>0</v>
      </c>
      <c r="G8" s="10"/>
      <c r="I8" s="10"/>
      <c r="J8" s="10"/>
      <c r="K8" s="72"/>
      <c r="L8" s="37"/>
      <c r="T8" s="1" t="s">
        <v>21</v>
      </c>
      <c r="W8" s="1">
        <f>IF(W7&gt;W5,W7-W5,0)</f>
        <v>0</v>
      </c>
      <c r="Z8" s="1" t="s">
        <v>14</v>
      </c>
      <c r="AB8" s="41" t="e">
        <f>+AB6+AB7</f>
        <v>#N/A</v>
      </c>
      <c r="AC8" s="10"/>
      <c r="AE8" s="25"/>
      <c r="AF8" s="25"/>
      <c r="AH8" s="45"/>
      <c r="AI8" s="45"/>
      <c r="AJ8" s="45"/>
      <c r="AK8" s="45"/>
    </row>
    <row r="9" spans="1:37" x14ac:dyDescent="0.2">
      <c r="A9" s="1" t="s">
        <v>437</v>
      </c>
      <c r="D9" s="59" t="s">
        <v>47</v>
      </c>
      <c r="E9" s="65">
        <v>0</v>
      </c>
      <c r="F9" s="78">
        <f>ROUND(E9/2,2)</f>
        <v>0</v>
      </c>
      <c r="G9" s="10"/>
      <c r="L9" s="10"/>
      <c r="M9" s="10"/>
      <c r="N9" s="10"/>
      <c r="O9" s="10"/>
      <c r="P9" s="10"/>
      <c r="Q9" s="10"/>
      <c r="Z9" s="10"/>
      <c r="AA9" s="10"/>
      <c r="AB9" s="10"/>
      <c r="AC9" s="10"/>
      <c r="AE9" s="25"/>
      <c r="AF9" s="25"/>
      <c r="AH9" s="45"/>
      <c r="AI9" s="45"/>
      <c r="AJ9" s="45"/>
      <c r="AK9" s="45"/>
    </row>
    <row r="10" spans="1:37" x14ac:dyDescent="0.2">
      <c r="A10" s="1" t="s">
        <v>438</v>
      </c>
      <c r="D10" s="59" t="s">
        <v>47</v>
      </c>
      <c r="E10" s="65">
        <v>0</v>
      </c>
      <c r="F10" s="78">
        <f>+E10</f>
        <v>0</v>
      </c>
      <c r="G10" s="10"/>
      <c r="J10" s="24" t="s">
        <v>56</v>
      </c>
      <c r="L10" s="10"/>
      <c r="M10" s="10"/>
      <c r="N10" s="10"/>
      <c r="O10" s="10"/>
      <c r="P10" s="10"/>
      <c r="Q10" s="10"/>
      <c r="T10" s="1" t="s">
        <v>20</v>
      </c>
      <c r="V10" s="68">
        <f>+Mensual!Y10</f>
        <v>4.0000000000000001E-3</v>
      </c>
      <c r="W10" s="1">
        <f>IF(W8=0,0,ROUND(V10*W8,2))</f>
        <v>0</v>
      </c>
      <c r="Z10" s="10" t="s">
        <v>123</v>
      </c>
      <c r="AA10" s="10"/>
      <c r="AB10" s="10">
        <f>+K4</f>
        <v>0</v>
      </c>
      <c r="AC10" s="10"/>
      <c r="AE10" s="25"/>
      <c r="AF10" s="25"/>
      <c r="AH10" s="46"/>
      <c r="AI10" s="47"/>
      <c r="AJ10" s="46"/>
      <c r="AK10" s="46"/>
    </row>
    <row r="11" spans="1:37" x14ac:dyDescent="0.2">
      <c r="A11" s="1" t="s">
        <v>439</v>
      </c>
      <c r="D11" s="59" t="s">
        <v>47</v>
      </c>
      <c r="E11" s="65">
        <v>0</v>
      </c>
      <c r="F11" s="366">
        <v>0</v>
      </c>
      <c r="G11" s="10"/>
      <c r="I11" s="10"/>
      <c r="J11" s="10"/>
      <c r="K11" s="10"/>
      <c r="L11" s="10"/>
      <c r="M11" s="10"/>
      <c r="N11" s="10"/>
      <c r="O11" s="10"/>
      <c r="P11" s="10"/>
      <c r="Q11" s="10"/>
      <c r="T11" s="1" t="s">
        <v>22</v>
      </c>
      <c r="V11" s="68">
        <f>+Mensual!Y11</f>
        <v>2.5000000000000001E-3</v>
      </c>
      <c r="W11" s="1">
        <f>ROUND(W7*V11,2)</f>
        <v>0</v>
      </c>
      <c r="Z11" s="10"/>
      <c r="AA11" s="10"/>
      <c r="AB11" s="10"/>
      <c r="AC11" s="10"/>
      <c r="AE11" s="25"/>
      <c r="AH11" s="47"/>
      <c r="AI11" s="47"/>
      <c r="AJ11" s="46"/>
      <c r="AK11" s="46"/>
    </row>
    <row r="12" spans="1:37" x14ac:dyDescent="0.2">
      <c r="A12" s="1" t="s">
        <v>440</v>
      </c>
      <c r="D12" s="59" t="s">
        <v>47</v>
      </c>
      <c r="E12" s="65">
        <v>0</v>
      </c>
      <c r="F12" s="57">
        <f>+E12</f>
        <v>0</v>
      </c>
      <c r="G12" s="10"/>
      <c r="M12" s="10"/>
      <c r="N12" s="10"/>
      <c r="O12" s="10"/>
      <c r="P12" s="10"/>
      <c r="Q12" s="10"/>
      <c r="T12" s="1" t="s">
        <v>23</v>
      </c>
      <c r="V12" s="68">
        <f>+Mensual!Y12</f>
        <v>3.7499999999999999E-3</v>
      </c>
      <c r="W12" s="1">
        <f>ROUND(W7*V12,2)</f>
        <v>0</v>
      </c>
      <c r="Z12" s="10"/>
      <c r="AA12" s="10"/>
      <c r="AB12" s="41">
        <f>IF(AB2=0,0,IF(AB10&gt;AB8,0,AB8-AB10))</f>
        <v>0</v>
      </c>
      <c r="AC12" s="10"/>
      <c r="AH12" s="47"/>
      <c r="AI12" s="47"/>
      <c r="AJ12" s="47"/>
      <c r="AK12" s="46"/>
    </row>
    <row r="13" spans="1:37" x14ac:dyDescent="0.2">
      <c r="A13" s="25" t="s">
        <v>136</v>
      </c>
      <c r="B13" s="25"/>
      <c r="C13" s="25"/>
      <c r="D13" s="59" t="s">
        <v>47</v>
      </c>
      <c r="E13" s="65">
        <v>0</v>
      </c>
      <c r="F13" s="57">
        <f>+E13</f>
        <v>0</v>
      </c>
      <c r="G13" s="10"/>
      <c r="I13" s="10"/>
      <c r="J13" s="10"/>
      <c r="K13" s="10"/>
      <c r="L13" s="10"/>
      <c r="M13" s="10"/>
      <c r="N13" s="10"/>
      <c r="O13" s="10"/>
      <c r="P13" s="10"/>
      <c r="Q13" s="10"/>
      <c r="T13" s="1" t="s">
        <v>24</v>
      </c>
      <c r="V13" s="68">
        <f>+Mensual!Y13</f>
        <v>6.2500000000000003E-3</v>
      </c>
      <c r="W13" s="1">
        <f>ROUND(W7*V13,2)</f>
        <v>0</v>
      </c>
      <c r="Z13" s="10"/>
      <c r="AA13" s="10"/>
      <c r="AB13" s="10"/>
      <c r="AC13" s="10"/>
      <c r="AH13" s="47"/>
      <c r="AI13" s="47"/>
      <c r="AJ13" s="47"/>
      <c r="AK13" s="46"/>
    </row>
    <row r="14" spans="1:37" x14ac:dyDescent="0.2">
      <c r="B14" s="1" t="s">
        <v>2</v>
      </c>
      <c r="E14" s="15"/>
      <c r="F14" s="15"/>
      <c r="G14" s="10"/>
      <c r="I14" s="10"/>
      <c r="J14" s="10"/>
      <c r="K14" s="10"/>
      <c r="L14" s="10"/>
      <c r="M14" s="10"/>
      <c r="N14" s="10"/>
      <c r="O14" s="10"/>
      <c r="P14" s="10"/>
      <c r="Q14" s="10"/>
      <c r="T14" s="1" t="s">
        <v>25</v>
      </c>
      <c r="V14" s="68">
        <f>+Mensual!Y14</f>
        <v>1.125E-2</v>
      </c>
      <c r="W14" s="1">
        <f>ROUND(W7*V14,2)</f>
        <v>0</v>
      </c>
      <c r="Z14" s="10"/>
      <c r="AA14" s="10"/>
      <c r="AB14" s="10"/>
      <c r="AC14" s="10"/>
      <c r="AH14" s="47"/>
      <c r="AI14" s="46"/>
      <c r="AJ14" s="47"/>
      <c r="AK14" s="46"/>
    </row>
    <row r="15" spans="1:37" ht="15" x14ac:dyDescent="0.35">
      <c r="C15" s="62" t="s">
        <v>79</v>
      </c>
      <c r="E15" s="419">
        <f>SUM(E5:E14)</f>
        <v>0</v>
      </c>
      <c r="F15" s="78">
        <f>SUM(F5:F14)</f>
        <v>0</v>
      </c>
      <c r="G15" s="10"/>
      <c r="I15" s="10"/>
      <c r="J15" s="10"/>
      <c r="K15" s="10"/>
      <c r="L15" s="10"/>
      <c r="M15" s="10"/>
      <c r="N15" s="10"/>
      <c r="O15" s="10"/>
      <c r="P15" s="10"/>
      <c r="Q15" s="10"/>
      <c r="W15" s="1">
        <f>SUM(W10:W14)</f>
        <v>0</v>
      </c>
      <c r="Z15" s="75"/>
      <c r="AA15" s="10"/>
      <c r="AB15" s="10"/>
      <c r="AC15" s="10"/>
      <c r="AH15" s="45"/>
      <c r="AI15" s="45"/>
      <c r="AJ15" s="45"/>
      <c r="AK15" s="45"/>
    </row>
    <row r="16" spans="1:37" x14ac:dyDescent="0.2">
      <c r="E16" s="15"/>
      <c r="G16" s="10"/>
      <c r="W16" s="5">
        <v>30</v>
      </c>
      <c r="X16" s="1" t="s">
        <v>66</v>
      </c>
      <c r="Z16" s="10"/>
      <c r="AA16" s="10"/>
      <c r="AB16" s="10"/>
      <c r="AC16" s="10"/>
      <c r="AH16" s="45"/>
      <c r="AI16" s="45"/>
      <c r="AJ16" s="45"/>
      <c r="AK16" s="45"/>
    </row>
    <row r="17" spans="1:37" x14ac:dyDescent="0.2">
      <c r="A17" s="1" t="s">
        <v>2</v>
      </c>
      <c r="E17" s="15"/>
      <c r="W17" s="1">
        <f>ROUND(W15*W16,2)</f>
        <v>0</v>
      </c>
      <c r="Z17" s="10"/>
      <c r="AA17" s="10"/>
      <c r="AB17" s="10"/>
      <c r="AC17" s="10"/>
      <c r="AH17" s="46"/>
      <c r="AI17" s="47"/>
      <c r="AJ17" s="46"/>
      <c r="AK17" s="46"/>
    </row>
    <row r="18" spans="1:37" ht="13.5" thickBot="1" x14ac:dyDescent="0.25">
      <c r="A18" s="1" t="s">
        <v>92</v>
      </c>
      <c r="E18" s="78">
        <f>+AB12</f>
        <v>0</v>
      </c>
      <c r="L18" s="10"/>
      <c r="M18" s="10"/>
      <c r="N18" s="10"/>
      <c r="O18" s="10"/>
      <c r="P18" s="10"/>
      <c r="Q18" s="10"/>
      <c r="AH18" s="47"/>
      <c r="AI18" s="47"/>
      <c r="AJ18" s="46"/>
      <c r="AK18" s="46"/>
    </row>
    <row r="19" spans="1:37" ht="13.5" thickBot="1" x14ac:dyDescent="0.25">
      <c r="A19" s="1" t="s">
        <v>93</v>
      </c>
      <c r="E19" s="78">
        <f>K5</f>
        <v>0</v>
      </c>
      <c r="G19" s="548" t="s">
        <v>100</v>
      </c>
      <c r="H19" s="549"/>
      <c r="I19" s="549"/>
      <c r="J19" s="549"/>
      <c r="K19" s="550"/>
      <c r="L19" s="10"/>
      <c r="M19" s="10"/>
      <c r="N19" s="10"/>
      <c r="O19" s="10"/>
      <c r="P19" s="10"/>
      <c r="Q19" s="10"/>
      <c r="T19" s="15" t="s">
        <v>38</v>
      </c>
      <c r="AH19" s="47"/>
      <c r="AI19" s="47"/>
      <c r="AJ19" s="47"/>
      <c r="AK19" s="46"/>
    </row>
    <row r="20" spans="1:37" x14ac:dyDescent="0.2">
      <c r="E20" s="82"/>
      <c r="G20" s="6" t="s">
        <v>27</v>
      </c>
      <c r="H20" s="7"/>
      <c r="I20" s="7"/>
      <c r="J20" s="7"/>
      <c r="K20" s="8"/>
      <c r="L20" s="10"/>
      <c r="M20" s="10"/>
      <c r="N20" s="10"/>
      <c r="O20" s="10"/>
      <c r="P20" s="10"/>
      <c r="Q20" s="10"/>
      <c r="T20" s="1" t="s">
        <v>39</v>
      </c>
      <c r="W20" s="1">
        <f>+ROUND(K2*0.4,2)</f>
        <v>22.98</v>
      </c>
      <c r="AH20" s="47"/>
      <c r="AI20" s="47"/>
      <c r="AJ20" s="47"/>
      <c r="AK20" s="46"/>
    </row>
    <row r="21" spans="1:37" x14ac:dyDescent="0.2">
      <c r="C21" s="62" t="s">
        <v>441</v>
      </c>
      <c r="E21" s="78">
        <f>+E15-E18</f>
        <v>0</v>
      </c>
      <c r="G21" s="9" t="s">
        <v>28</v>
      </c>
      <c r="H21" s="10"/>
      <c r="I21" s="10"/>
      <c r="J21" s="10"/>
      <c r="K21" s="11"/>
      <c r="L21" s="10"/>
      <c r="M21" s="10"/>
      <c r="N21" s="10"/>
      <c r="O21" s="10"/>
      <c r="P21" s="10"/>
      <c r="Q21" s="10"/>
      <c r="T21" s="1" t="s">
        <v>67</v>
      </c>
      <c r="W21" s="1">
        <f>+ROUND(W20*30,2)</f>
        <v>689.4</v>
      </c>
      <c r="AD21" s="10"/>
      <c r="AH21" s="47"/>
      <c r="AI21" s="47"/>
      <c r="AJ21" s="47"/>
      <c r="AK21" s="46"/>
    </row>
    <row r="22" spans="1:37" ht="13.5" thickBot="1" x14ac:dyDescent="0.25">
      <c r="G22" s="9" t="s">
        <v>29</v>
      </c>
      <c r="H22" s="10"/>
      <c r="J22" s="19" t="s">
        <v>442</v>
      </c>
      <c r="K22" s="11"/>
      <c r="L22" s="10"/>
      <c r="M22" s="10"/>
      <c r="N22" s="10"/>
      <c r="O22" s="10"/>
      <c r="P22" s="10"/>
      <c r="Q22" s="10"/>
      <c r="AD22" s="10"/>
      <c r="AH22" s="47"/>
      <c r="AI22" s="47"/>
      <c r="AJ22" s="47"/>
      <c r="AK22" s="46"/>
    </row>
    <row r="23" spans="1:37" ht="13.5" thickBot="1" x14ac:dyDescent="0.25">
      <c r="A23" s="1" t="s">
        <v>96</v>
      </c>
      <c r="E23" s="352">
        <f>IF(E18&gt;E19,E18-E19,0)</f>
        <v>0</v>
      </c>
      <c r="G23" s="9" t="s">
        <v>30</v>
      </c>
      <c r="H23" s="10"/>
      <c r="J23" s="20" t="s">
        <v>36</v>
      </c>
      <c r="K23" s="11"/>
      <c r="AD23" s="10"/>
      <c r="AH23" s="47"/>
      <c r="AI23" s="47"/>
      <c r="AJ23" s="47"/>
      <c r="AK23" s="46"/>
    </row>
    <row r="24" spans="1:37" ht="13.5" thickBot="1" x14ac:dyDescent="0.25">
      <c r="A24" s="1" t="s">
        <v>97</v>
      </c>
      <c r="E24" s="352">
        <f>IF(E19&gt;E18,E19-E18,0)</f>
        <v>0</v>
      </c>
      <c r="G24" s="12" t="s">
        <v>31</v>
      </c>
      <c r="H24" s="13"/>
      <c r="I24" s="13"/>
      <c r="J24" s="13" t="s">
        <v>443</v>
      </c>
      <c r="K24" s="14"/>
      <c r="AD24" s="10"/>
      <c r="AH24" s="47"/>
      <c r="AI24" s="46"/>
      <c r="AJ24" s="47"/>
      <c r="AK24" s="46"/>
    </row>
    <row r="25" spans="1:37" ht="15.75" x14ac:dyDescent="0.25">
      <c r="A25" s="10"/>
      <c r="B25" s="10"/>
      <c r="C25" s="10"/>
      <c r="D25" s="10"/>
      <c r="E25" s="10"/>
      <c r="F25" s="10"/>
      <c r="AD25" s="10"/>
      <c r="AH25" s="48"/>
      <c r="AI25" s="49"/>
      <c r="AJ25" s="49"/>
      <c r="AK25" s="49"/>
    </row>
    <row r="26" spans="1:37" x14ac:dyDescent="0.2">
      <c r="A26" s="10"/>
      <c r="B26" s="10"/>
      <c r="C26" s="10"/>
      <c r="D26" s="10"/>
      <c r="E26" s="10"/>
      <c r="F26" s="10"/>
      <c r="AD26" s="10"/>
      <c r="AH26" s="10"/>
      <c r="AI26" s="10"/>
      <c r="AJ26" s="10"/>
      <c r="AK26" s="10"/>
    </row>
    <row r="27" spans="1:37" x14ac:dyDescent="0.2">
      <c r="A27" s="10"/>
      <c r="B27" s="10"/>
      <c r="C27" s="10"/>
      <c r="D27" s="10"/>
      <c r="E27" s="10"/>
      <c r="F27" s="10"/>
      <c r="AH27" s="10"/>
      <c r="AI27" s="10"/>
      <c r="AJ27" s="10"/>
      <c r="AK27" s="10"/>
    </row>
    <row r="28" spans="1:37" x14ac:dyDescent="0.2">
      <c r="A28" s="10"/>
      <c r="B28" s="10"/>
      <c r="C28" s="10"/>
      <c r="D28" s="10"/>
      <c r="E28" s="10"/>
      <c r="F28" s="10"/>
    </row>
    <row r="33" spans="26:29" x14ac:dyDescent="0.2">
      <c r="Z33" s="10"/>
      <c r="AA33" s="10"/>
      <c r="AB33" s="10"/>
      <c r="AC33" s="10"/>
    </row>
    <row r="34" spans="26:29" x14ac:dyDescent="0.2">
      <c r="Z34" s="10"/>
      <c r="AA34" s="10"/>
      <c r="AB34" s="10"/>
      <c r="AC34" s="10"/>
    </row>
    <row r="35" spans="26:29" x14ac:dyDescent="0.2">
      <c r="Z35" s="10"/>
      <c r="AA35" s="10"/>
      <c r="AB35" s="10"/>
      <c r="AC35" s="10"/>
    </row>
    <row r="36" spans="26:29" x14ac:dyDescent="0.2">
      <c r="Z36" s="10"/>
      <c r="AA36" s="10"/>
      <c r="AB36" s="10"/>
      <c r="AC36" s="10"/>
    </row>
    <row r="37" spans="26:29" x14ac:dyDescent="0.2">
      <c r="Z37" s="10"/>
      <c r="AA37" s="10"/>
      <c r="AB37" s="10"/>
      <c r="AC37" s="10"/>
    </row>
    <row r="38" spans="26:29" x14ac:dyDescent="0.2">
      <c r="Z38" s="10"/>
      <c r="AA38" s="10"/>
      <c r="AB38" s="10"/>
      <c r="AC38" s="10"/>
    </row>
    <row r="39" spans="26:29" x14ac:dyDescent="0.2">
      <c r="Z39" s="10"/>
      <c r="AA39" s="10"/>
      <c r="AB39" s="10"/>
      <c r="AC39" s="10"/>
    </row>
    <row r="40" spans="26:29" x14ac:dyDescent="0.2">
      <c r="Z40" s="10"/>
      <c r="AA40" s="10"/>
      <c r="AB40" s="10"/>
      <c r="AC40" s="10"/>
    </row>
    <row r="41" spans="26:29" x14ac:dyDescent="0.2">
      <c r="Z41" s="10"/>
      <c r="AA41" s="10"/>
      <c r="AB41" s="10"/>
      <c r="AC41" s="10"/>
    </row>
    <row r="42" spans="26:29" x14ac:dyDescent="0.2">
      <c r="Z42" s="10"/>
      <c r="AA42" s="10"/>
      <c r="AB42" s="10"/>
      <c r="AC42" s="10"/>
    </row>
    <row r="43" spans="26:29" x14ac:dyDescent="0.2">
      <c r="Z43" s="10"/>
      <c r="AA43" s="10"/>
      <c r="AB43" s="10"/>
      <c r="AC43" s="10"/>
    </row>
    <row r="44" spans="26:29" x14ac:dyDescent="0.2">
      <c r="Z44" s="10"/>
      <c r="AA44" s="10"/>
      <c r="AB44" s="10"/>
      <c r="AC44" s="10"/>
    </row>
    <row r="45" spans="26:29" x14ac:dyDescent="0.2">
      <c r="Z45" s="10"/>
      <c r="AA45" s="10"/>
      <c r="AB45" s="10"/>
      <c r="AC45" s="10"/>
    </row>
    <row r="46" spans="26:29" x14ac:dyDescent="0.2">
      <c r="Z46" s="10"/>
      <c r="AA46" s="10"/>
      <c r="AB46" s="10"/>
      <c r="AC46" s="10"/>
    </row>
    <row r="47" spans="26:29" x14ac:dyDescent="0.2">
      <c r="Z47" s="10"/>
      <c r="AA47" s="10"/>
      <c r="AB47" s="10"/>
      <c r="AC47" s="10"/>
    </row>
    <row r="48" spans="26:29" x14ac:dyDescent="0.2">
      <c r="Z48" s="10"/>
      <c r="AA48" s="10"/>
      <c r="AB48" s="10"/>
      <c r="AC48" s="10"/>
    </row>
    <row r="49" spans="26:29" x14ac:dyDescent="0.2">
      <c r="Z49" s="10"/>
      <c r="AA49" s="10"/>
      <c r="AB49" s="10"/>
      <c r="AC49" s="10"/>
    </row>
    <row r="50" spans="26:29" x14ac:dyDescent="0.2">
      <c r="Z50" s="10"/>
      <c r="AA50" s="10"/>
      <c r="AB50" s="10"/>
      <c r="AC50" s="10"/>
    </row>
    <row r="51" spans="26:29" x14ac:dyDescent="0.2">
      <c r="Z51" s="10"/>
      <c r="AA51" s="10"/>
      <c r="AB51" s="10"/>
      <c r="AC51" s="10"/>
    </row>
    <row r="52" spans="26:29" x14ac:dyDescent="0.2">
      <c r="Z52" s="10"/>
      <c r="AA52" s="10"/>
      <c r="AB52" s="10"/>
      <c r="AC52" s="10"/>
    </row>
    <row r="53" spans="26:29" x14ac:dyDescent="0.2">
      <c r="Z53" s="10"/>
      <c r="AA53" s="10"/>
      <c r="AB53" s="10"/>
      <c r="AC53" s="10"/>
    </row>
    <row r="54" spans="26:29" x14ac:dyDescent="0.2">
      <c r="Z54" s="10"/>
      <c r="AA54" s="10"/>
      <c r="AB54" s="10"/>
      <c r="AC54" s="10"/>
    </row>
    <row r="55" spans="26:29" x14ac:dyDescent="0.2">
      <c r="Z55" s="10"/>
      <c r="AA55" s="10"/>
      <c r="AB55" s="10"/>
      <c r="AC55" s="10"/>
    </row>
    <row r="56" spans="26:29" x14ac:dyDescent="0.2">
      <c r="Z56" s="10"/>
      <c r="AA56" s="10"/>
      <c r="AB56" s="10"/>
      <c r="AC56" s="10"/>
    </row>
    <row r="57" spans="26:29" x14ac:dyDescent="0.2">
      <c r="Z57" s="10"/>
      <c r="AA57" s="10"/>
      <c r="AB57" s="10"/>
      <c r="AC57" s="10"/>
    </row>
  </sheetData>
  <sheetProtection sheet="1" objects="1" scenarios="1"/>
  <mergeCells count="1">
    <mergeCell ref="G19:K19"/>
  </mergeCells>
  <phoneticPr fontId="0" type="noConversion"/>
  <hyperlinks>
    <hyperlink ref="J10" location="'Menú Principa'!A1" display="'Menú Principa'!A1"/>
  </hyperlinks>
  <pageMargins left="0.75" right="0.75" top="1" bottom="1" header="0" footer="0"/>
  <pageSetup scale="80" orientation="portrait" horizontalDpi="4294967295" verticalDpi="300" r:id="rId1"/>
  <headerFooter alignWithMargins="0"/>
  <ignoredErrors>
    <ignoredError sqref="F12:F13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AB131"/>
  <sheetViews>
    <sheetView showGridLines="0" showRowColHeaders="0" workbookViewId="0">
      <selection activeCell="I2" sqref="I2"/>
    </sheetView>
  </sheetViews>
  <sheetFormatPr baseColWidth="10" defaultRowHeight="12.75" x14ac:dyDescent="0.2"/>
  <cols>
    <col min="1" max="1" width="21.42578125" style="1" customWidth="1"/>
    <col min="2" max="2" width="11.42578125" style="1"/>
    <col min="3" max="3" width="13.7109375" style="1" customWidth="1"/>
    <col min="4" max="4" width="3.85546875" style="1" customWidth="1"/>
    <col min="5" max="6" width="11.42578125" style="1"/>
    <col min="7" max="7" width="2.42578125" style="1" customWidth="1"/>
    <col min="8" max="8" width="8" style="1" customWidth="1"/>
    <col min="9" max="9" width="11.42578125" style="1"/>
    <col min="10" max="10" width="13.28515625" style="1" customWidth="1"/>
    <col min="11" max="13" width="11.42578125" style="1"/>
    <col min="14" max="14" width="15" style="1" customWidth="1"/>
    <col min="15" max="16384" width="11.42578125" style="1"/>
  </cols>
  <sheetData>
    <row r="1" spans="1:28" x14ac:dyDescent="0.2">
      <c r="A1" s="30" t="str">
        <f>Anual!A1</f>
        <v>SUELDOS Y SALARIOS</v>
      </c>
      <c r="B1" s="31"/>
      <c r="C1" s="31"/>
      <c r="D1" s="31"/>
      <c r="E1" s="31"/>
      <c r="F1" s="31"/>
    </row>
    <row r="2" spans="1:28" x14ac:dyDescent="0.2">
      <c r="A2" s="30" t="s">
        <v>59</v>
      </c>
      <c r="B2" s="31"/>
      <c r="C2" s="31"/>
      <c r="D2" s="31"/>
      <c r="E2" s="31"/>
      <c r="F2" s="31"/>
      <c r="H2" s="10"/>
      <c r="I2" s="24" t="s">
        <v>56</v>
      </c>
      <c r="J2" s="28"/>
      <c r="S2" s="1" t="s">
        <v>8</v>
      </c>
      <c r="U2" s="1">
        <f>+C5</f>
        <v>4390</v>
      </c>
    </row>
    <row r="3" spans="1:28" x14ac:dyDescent="0.2">
      <c r="A3" s="153" t="str">
        <f>Anual!A3</f>
        <v>Ejercicio Fiscal de 2010</v>
      </c>
      <c r="B3" s="32"/>
      <c r="C3" s="32"/>
      <c r="D3" s="33"/>
      <c r="E3" s="34"/>
      <c r="F3" s="34"/>
      <c r="H3" s="10"/>
      <c r="I3" s="10"/>
      <c r="J3" s="10"/>
      <c r="S3" s="1" t="s">
        <v>9</v>
      </c>
      <c r="U3" s="3">
        <f>+VLOOKUP($U$2,Mensual,1)</f>
        <v>4210.42</v>
      </c>
    </row>
    <row r="4" spans="1:28" ht="13.5" thickBot="1" x14ac:dyDescent="0.25">
      <c r="A4" s="32"/>
      <c r="B4" s="32"/>
      <c r="C4" s="32"/>
      <c r="D4" s="32"/>
      <c r="E4" s="34"/>
      <c r="F4" s="34"/>
      <c r="G4" s="10"/>
      <c r="H4" s="10"/>
      <c r="I4" s="10"/>
      <c r="J4" s="10"/>
      <c r="S4" s="1" t="s">
        <v>10</v>
      </c>
      <c r="U4" s="1">
        <f>+U2-U3</f>
        <v>179.57999999999993</v>
      </c>
      <c r="W4" s="25"/>
      <c r="X4" s="25"/>
      <c r="Y4" s="25"/>
      <c r="AA4" s="25"/>
      <c r="AB4" s="25"/>
    </row>
    <row r="5" spans="1:28" ht="13.5" thickBot="1" x14ac:dyDescent="0.25">
      <c r="A5" s="32" t="s">
        <v>61</v>
      </c>
      <c r="B5" s="32"/>
      <c r="C5" s="389">
        <f>39390-35000</f>
        <v>4390</v>
      </c>
      <c r="D5" s="50" t="s">
        <v>47</v>
      </c>
      <c r="E5" s="10"/>
      <c r="F5" s="32"/>
      <c r="G5" s="10"/>
      <c r="H5" s="10"/>
      <c r="I5" s="10"/>
      <c r="J5" s="10"/>
      <c r="S5" s="1" t="s">
        <v>11</v>
      </c>
      <c r="U5" s="73">
        <f>+VLOOKUP($U$2,Mensual,4)</f>
        <v>0.10880000000000001</v>
      </c>
      <c r="W5" s="25"/>
      <c r="X5" s="25"/>
      <c r="Y5" s="25"/>
      <c r="AA5" s="25"/>
      <c r="AB5" s="25"/>
    </row>
    <row r="6" spans="1:28" ht="13.5" thickBot="1" x14ac:dyDescent="0.25">
      <c r="A6" s="32"/>
      <c r="B6" s="32"/>
      <c r="C6" s="35"/>
      <c r="D6" s="32"/>
      <c r="E6" s="10"/>
      <c r="F6" s="32"/>
      <c r="G6" s="10"/>
      <c r="H6" s="10"/>
      <c r="I6" s="10"/>
      <c r="J6" s="28"/>
      <c r="S6" s="1" t="s">
        <v>12</v>
      </c>
      <c r="U6" s="1">
        <f>ROUND(U4*U5,2)</f>
        <v>19.54</v>
      </c>
      <c r="V6" s="10"/>
      <c r="W6" s="25"/>
      <c r="X6" s="25"/>
      <c r="Y6" s="25"/>
      <c r="AA6" s="25"/>
      <c r="AB6" s="25"/>
    </row>
    <row r="7" spans="1:28" ht="13.5" thickBot="1" x14ac:dyDescent="0.25">
      <c r="A7" s="32" t="s">
        <v>60</v>
      </c>
      <c r="B7" s="32"/>
      <c r="C7" s="390">
        <f>IF(C5=0,0,U8)</f>
        <v>266.77</v>
      </c>
      <c r="E7" s="528">
        <f>C7/C5</f>
        <v>6.0767653758542137E-2</v>
      </c>
      <c r="F7" s="32"/>
      <c r="G7" s="40"/>
      <c r="H7" s="32"/>
      <c r="I7" s="10"/>
      <c r="J7" s="10"/>
      <c r="S7" s="1" t="s">
        <v>13</v>
      </c>
      <c r="U7" s="3">
        <f>+VLOOKUP($U$2,Mensual,3)</f>
        <v>247.23</v>
      </c>
      <c r="V7" s="10"/>
      <c r="W7" s="25"/>
      <c r="X7" s="25"/>
      <c r="Y7" s="25"/>
      <c r="AA7" s="25"/>
      <c r="AB7" s="25"/>
    </row>
    <row r="8" spans="1:28" ht="13.5" thickBot="1" x14ac:dyDescent="0.25">
      <c r="A8" s="32"/>
      <c r="B8" s="32"/>
      <c r="C8" s="388"/>
      <c r="D8" s="32"/>
      <c r="E8" s="32"/>
      <c r="F8" s="32"/>
      <c r="G8" s="52"/>
      <c r="H8" s="32"/>
      <c r="S8" s="1" t="s">
        <v>14</v>
      </c>
      <c r="U8" s="41">
        <f>+U6+U7</f>
        <v>266.77</v>
      </c>
      <c r="V8" s="10"/>
      <c r="W8" s="25"/>
      <c r="X8" s="25"/>
      <c r="Y8" s="25"/>
      <c r="AA8" s="25"/>
      <c r="AB8" s="25"/>
    </row>
    <row r="9" spans="1:28" ht="13.5" thickBot="1" x14ac:dyDescent="0.25">
      <c r="A9" s="32" t="s">
        <v>63</v>
      </c>
      <c r="B9" s="32"/>
      <c r="C9" s="391">
        <f>IF(C5=0,0,C5-C7)</f>
        <v>4123.2299999999996</v>
      </c>
      <c r="D9" s="32"/>
      <c r="E9" s="32"/>
      <c r="F9" s="32"/>
      <c r="G9" s="52"/>
      <c r="H9" s="32"/>
      <c r="S9" s="10"/>
      <c r="T9" s="10"/>
      <c r="U9" s="10"/>
      <c r="V9" s="10"/>
      <c r="W9" s="25"/>
      <c r="X9" s="25"/>
      <c r="Y9" s="25"/>
      <c r="AA9" s="25"/>
      <c r="AB9" s="25"/>
    </row>
    <row r="10" spans="1:28" x14ac:dyDescent="0.2">
      <c r="A10" s="32"/>
      <c r="B10" s="32"/>
      <c r="C10" s="388"/>
      <c r="D10" s="32"/>
      <c r="E10" s="10"/>
      <c r="F10" s="32"/>
      <c r="G10" s="10"/>
      <c r="H10" s="10"/>
      <c r="O10" s="2"/>
      <c r="S10" s="10"/>
      <c r="T10" s="10"/>
      <c r="U10" s="10"/>
      <c r="V10" s="10"/>
      <c r="W10" s="25"/>
      <c r="X10" s="25"/>
      <c r="Y10" s="25"/>
      <c r="AA10" s="25"/>
      <c r="AB10" s="25"/>
    </row>
    <row r="11" spans="1:28" x14ac:dyDescent="0.2">
      <c r="A11" s="32"/>
      <c r="B11" s="32"/>
      <c r="C11" s="32"/>
      <c r="D11" s="35"/>
      <c r="E11" s="32"/>
      <c r="F11" s="32"/>
      <c r="G11" s="10"/>
      <c r="H11" s="10"/>
      <c r="O11" s="2"/>
      <c r="S11" s="10"/>
      <c r="T11" s="10"/>
      <c r="U11" s="10"/>
      <c r="V11" s="10"/>
      <c r="W11" s="25"/>
      <c r="X11" s="25"/>
      <c r="AA11" s="25"/>
      <c r="AB11" s="25"/>
    </row>
    <row r="12" spans="1:28" x14ac:dyDescent="0.2">
      <c r="A12" s="32"/>
      <c r="B12" s="32"/>
      <c r="C12" s="32"/>
      <c r="D12" s="35"/>
      <c r="E12" s="32"/>
      <c r="F12" s="32"/>
      <c r="O12" s="4"/>
      <c r="S12" s="10"/>
      <c r="T12" s="10"/>
      <c r="U12" s="10"/>
      <c r="V12" s="10"/>
      <c r="AA12" s="25"/>
      <c r="AB12" s="25"/>
    </row>
    <row r="13" spans="1:28" x14ac:dyDescent="0.2">
      <c r="A13" s="32"/>
      <c r="B13" s="32"/>
      <c r="C13" s="32"/>
      <c r="D13" s="32"/>
      <c r="E13" s="32"/>
      <c r="F13" s="32"/>
      <c r="O13" s="4"/>
      <c r="U13" s="2"/>
      <c r="AA13" s="25"/>
      <c r="AB13" s="25"/>
    </row>
    <row r="14" spans="1:28" x14ac:dyDescent="0.2">
      <c r="A14" s="32"/>
      <c r="B14" s="32"/>
      <c r="C14" s="32"/>
      <c r="D14" s="32"/>
      <c r="E14" s="32"/>
      <c r="F14" s="32"/>
      <c r="O14" s="4"/>
      <c r="AA14" s="25"/>
      <c r="AB14" s="25"/>
    </row>
    <row r="15" spans="1:28" x14ac:dyDescent="0.2">
      <c r="A15" s="32"/>
      <c r="B15" s="32"/>
      <c r="C15" s="32"/>
      <c r="D15" s="32"/>
      <c r="E15" s="32"/>
      <c r="F15" s="32"/>
      <c r="AA15" s="25"/>
      <c r="AB15" s="25"/>
    </row>
    <row r="16" spans="1:28" ht="13.5" thickBot="1" x14ac:dyDescent="0.25">
      <c r="A16" s="32"/>
      <c r="B16" s="32"/>
      <c r="C16" s="32"/>
      <c r="D16" s="32"/>
      <c r="E16" s="32"/>
      <c r="F16" s="32"/>
      <c r="P16" s="29"/>
      <c r="AA16" s="25"/>
      <c r="AB16" s="25"/>
    </row>
    <row r="17" spans="1:24" ht="13.5" thickBot="1" x14ac:dyDescent="0.25">
      <c r="A17" s="10"/>
      <c r="B17" s="10"/>
      <c r="C17" s="10"/>
      <c r="D17" s="32"/>
      <c r="F17" s="548" t="s">
        <v>101</v>
      </c>
      <c r="G17" s="549"/>
      <c r="H17" s="549"/>
      <c r="I17" s="549"/>
      <c r="J17" s="550"/>
    </row>
    <row r="18" spans="1:24" x14ac:dyDescent="0.2">
      <c r="A18" s="10"/>
      <c r="B18" s="10"/>
      <c r="C18" s="10"/>
      <c r="D18" s="32"/>
      <c r="F18" s="6" t="s">
        <v>27</v>
      </c>
      <c r="G18" s="7"/>
      <c r="H18" s="7"/>
      <c r="I18" s="7"/>
      <c r="J18" s="8"/>
    </row>
    <row r="19" spans="1:24" x14ac:dyDescent="0.2">
      <c r="A19" s="10"/>
      <c r="B19" s="10"/>
      <c r="C19" s="10"/>
      <c r="D19" s="32"/>
      <c r="F19" s="9" t="s">
        <v>28</v>
      </c>
      <c r="G19" s="10"/>
      <c r="H19" s="10"/>
      <c r="I19" s="10"/>
      <c r="J19" s="11"/>
      <c r="M19" s="15"/>
    </row>
    <row r="20" spans="1:24" x14ac:dyDescent="0.2">
      <c r="A20" s="10"/>
      <c r="B20" s="10"/>
      <c r="C20" s="10"/>
      <c r="D20" s="32"/>
      <c r="F20" s="9" t="s">
        <v>29</v>
      </c>
      <c r="G20" s="10"/>
      <c r="I20" s="19" t="s">
        <v>222</v>
      </c>
      <c r="J20" s="11"/>
    </row>
    <row r="21" spans="1:24" x14ac:dyDescent="0.2">
      <c r="A21" s="10"/>
      <c r="B21" s="10"/>
      <c r="C21" s="10"/>
      <c r="D21" s="32"/>
      <c r="F21" s="9" t="s">
        <v>30</v>
      </c>
      <c r="G21" s="10"/>
      <c r="I21" s="36" t="s">
        <v>64</v>
      </c>
      <c r="J21" s="11"/>
      <c r="W21" s="10"/>
      <c r="X21" s="10"/>
    </row>
    <row r="22" spans="1:24" ht="13.5" thickBot="1" x14ac:dyDescent="0.25">
      <c r="A22" s="10"/>
      <c r="B22" s="10"/>
      <c r="C22" s="10"/>
      <c r="D22" s="32"/>
      <c r="F22" s="12" t="s">
        <v>31</v>
      </c>
      <c r="G22" s="13"/>
      <c r="H22" s="13"/>
      <c r="I22" s="13" t="s">
        <v>223</v>
      </c>
      <c r="J22" s="14"/>
      <c r="W22" s="10"/>
      <c r="X22" s="10"/>
    </row>
    <row r="23" spans="1:24" x14ac:dyDescent="0.2">
      <c r="A23" s="10"/>
      <c r="B23" s="10"/>
      <c r="C23" s="10"/>
      <c r="D23" s="32"/>
      <c r="W23" s="10"/>
      <c r="X23" s="10"/>
    </row>
    <row r="24" spans="1:24" x14ac:dyDescent="0.2">
      <c r="A24" s="10"/>
      <c r="B24" s="10"/>
      <c r="C24" s="10"/>
      <c r="D24" s="10"/>
      <c r="W24" s="10"/>
      <c r="X24" s="10"/>
    </row>
    <row r="25" spans="1:24" x14ac:dyDescent="0.2">
      <c r="A25" s="10"/>
      <c r="B25" s="10"/>
      <c r="C25" s="10"/>
      <c r="D25" s="10"/>
      <c r="W25" s="10"/>
      <c r="X25" s="10"/>
    </row>
    <row r="26" spans="1:24" x14ac:dyDescent="0.2">
      <c r="R26" s="10"/>
      <c r="W26" s="10"/>
      <c r="X26" s="10"/>
    </row>
    <row r="27" spans="1:24" x14ac:dyDescent="0.2">
      <c r="R27" s="10"/>
      <c r="W27" s="10"/>
      <c r="X27" s="10"/>
    </row>
    <row r="28" spans="1:24" x14ac:dyDescent="0.2">
      <c r="R28" s="10"/>
      <c r="S28" s="10"/>
      <c r="T28" s="10"/>
      <c r="U28" s="10"/>
      <c r="V28" s="10"/>
      <c r="W28" s="10"/>
      <c r="X28" s="10"/>
    </row>
    <row r="29" spans="1:24" x14ac:dyDescent="0.2">
      <c r="R29" s="10"/>
      <c r="S29" s="67"/>
      <c r="T29" s="10"/>
      <c r="U29" s="10"/>
      <c r="V29" s="10"/>
      <c r="W29" s="10"/>
      <c r="X29" s="10"/>
    </row>
    <row r="30" spans="1:24" x14ac:dyDescent="0.2">
      <c r="R30" s="10"/>
      <c r="S30" s="10"/>
      <c r="T30" s="10"/>
      <c r="U30" s="10"/>
      <c r="V30" s="10"/>
      <c r="W30" s="10"/>
      <c r="X30" s="10"/>
    </row>
    <row r="31" spans="1:24" x14ac:dyDescent="0.2">
      <c r="R31" s="10"/>
      <c r="S31" s="10"/>
      <c r="T31" s="10"/>
      <c r="U31" s="10"/>
      <c r="V31" s="10"/>
      <c r="W31" s="10"/>
      <c r="X31" s="10"/>
    </row>
    <row r="32" spans="1:24" x14ac:dyDescent="0.2">
      <c r="S32" s="10"/>
      <c r="T32" s="10"/>
      <c r="U32" s="10"/>
      <c r="V32" s="10"/>
      <c r="W32" s="10"/>
    </row>
    <row r="33" spans="19:23" x14ac:dyDescent="0.2">
      <c r="S33" s="10"/>
      <c r="T33" s="10"/>
      <c r="U33" s="10"/>
      <c r="V33" s="10"/>
      <c r="W33" s="10"/>
    </row>
    <row r="34" spans="19:23" x14ac:dyDescent="0.2">
      <c r="S34" s="10"/>
      <c r="T34" s="10"/>
      <c r="U34" s="10"/>
      <c r="V34" s="10"/>
      <c r="W34" s="10"/>
    </row>
    <row r="35" spans="19:23" x14ac:dyDescent="0.2">
      <c r="S35" s="10"/>
      <c r="T35" s="10"/>
      <c r="U35" s="10"/>
      <c r="V35" s="10"/>
      <c r="W35" s="10"/>
    </row>
    <row r="36" spans="19:23" x14ac:dyDescent="0.2">
      <c r="S36" s="10"/>
      <c r="T36" s="10"/>
      <c r="U36" s="10"/>
      <c r="V36" s="10"/>
      <c r="W36" s="10"/>
    </row>
    <row r="37" spans="19:23" x14ac:dyDescent="0.2">
      <c r="S37" s="10"/>
      <c r="T37" s="10"/>
      <c r="U37" s="10"/>
      <c r="V37" s="10"/>
      <c r="W37" s="10"/>
    </row>
    <row r="38" spans="19:23" x14ac:dyDescent="0.2">
      <c r="S38" s="10"/>
      <c r="T38" s="10"/>
      <c r="U38" s="10"/>
      <c r="V38" s="10"/>
      <c r="W38" s="10"/>
    </row>
    <row r="39" spans="19:23" x14ac:dyDescent="0.2">
      <c r="S39" s="10"/>
      <c r="T39" s="10"/>
      <c r="U39" s="10"/>
      <c r="V39" s="10"/>
      <c r="W39" s="10"/>
    </row>
    <row r="40" spans="19:23" x14ac:dyDescent="0.2">
      <c r="S40" s="10"/>
      <c r="T40" s="10"/>
      <c r="U40" s="10"/>
      <c r="V40" s="10"/>
      <c r="W40" s="10"/>
    </row>
    <row r="41" spans="19:23" x14ac:dyDescent="0.2">
      <c r="S41" s="10"/>
      <c r="T41" s="10"/>
      <c r="U41" s="10"/>
      <c r="V41" s="10"/>
      <c r="W41" s="10"/>
    </row>
    <row r="42" spans="19:23" x14ac:dyDescent="0.2">
      <c r="S42" s="10"/>
      <c r="T42" s="10"/>
      <c r="U42" s="10"/>
      <c r="V42" s="10"/>
      <c r="W42" s="10"/>
    </row>
    <row r="43" spans="19:23" x14ac:dyDescent="0.2">
      <c r="S43" s="10"/>
      <c r="T43" s="10"/>
      <c r="U43" s="10"/>
      <c r="V43" s="10"/>
      <c r="W43" s="10"/>
    </row>
    <row r="44" spans="19:23" x14ac:dyDescent="0.2">
      <c r="S44" s="10"/>
      <c r="T44" s="10"/>
      <c r="U44" s="10"/>
      <c r="V44" s="10"/>
      <c r="W44" s="10"/>
    </row>
    <row r="45" spans="19:23" x14ac:dyDescent="0.2">
      <c r="S45" s="10"/>
      <c r="T45" s="10"/>
      <c r="U45" s="10"/>
      <c r="V45" s="10"/>
      <c r="W45" s="10"/>
    </row>
    <row r="46" spans="19:23" x14ac:dyDescent="0.2">
      <c r="S46" s="10"/>
      <c r="T46" s="10"/>
      <c r="U46" s="10"/>
      <c r="V46" s="10"/>
      <c r="W46" s="10"/>
    </row>
    <row r="47" spans="19:23" x14ac:dyDescent="0.2">
      <c r="S47" s="10"/>
      <c r="T47" s="10"/>
      <c r="U47" s="10"/>
      <c r="V47" s="10"/>
      <c r="W47" s="10"/>
    </row>
    <row r="48" spans="19:23" x14ac:dyDescent="0.2">
      <c r="S48" s="10"/>
      <c r="T48" s="10"/>
      <c r="U48" s="10"/>
      <c r="V48" s="10"/>
      <c r="W48" s="10"/>
    </row>
    <row r="49" spans="19:23" x14ac:dyDescent="0.2">
      <c r="S49" s="10"/>
      <c r="T49" s="10"/>
      <c r="U49" s="10"/>
      <c r="V49" s="10"/>
      <c r="W49" s="10"/>
    </row>
    <row r="50" spans="19:23" x14ac:dyDescent="0.2">
      <c r="S50" s="10"/>
      <c r="T50" s="10"/>
      <c r="U50" s="10"/>
      <c r="V50" s="10"/>
      <c r="W50" s="10"/>
    </row>
    <row r="51" spans="19:23" x14ac:dyDescent="0.2">
      <c r="S51" s="10"/>
      <c r="T51" s="10"/>
      <c r="U51" s="10"/>
      <c r="V51" s="10"/>
      <c r="W51" s="10"/>
    </row>
    <row r="52" spans="19:23" x14ac:dyDescent="0.2">
      <c r="S52" s="10"/>
      <c r="T52" s="10"/>
      <c r="U52" s="10"/>
      <c r="V52" s="10"/>
      <c r="W52" s="10"/>
    </row>
    <row r="53" spans="19:23" x14ac:dyDescent="0.2">
      <c r="S53" s="10"/>
      <c r="T53" s="10"/>
      <c r="U53" s="10"/>
      <c r="V53" s="10"/>
      <c r="W53" s="10"/>
    </row>
    <row r="54" spans="19:23" x14ac:dyDescent="0.2">
      <c r="S54" s="10"/>
      <c r="T54" s="10"/>
      <c r="U54" s="10"/>
      <c r="V54" s="10"/>
      <c r="W54" s="10"/>
    </row>
    <row r="55" spans="19:23" x14ac:dyDescent="0.2">
      <c r="S55" s="10"/>
      <c r="T55" s="10"/>
      <c r="U55" s="10"/>
      <c r="V55" s="10"/>
      <c r="W55" s="10"/>
    </row>
    <row r="56" spans="19:23" x14ac:dyDescent="0.2">
      <c r="S56" s="10"/>
      <c r="T56" s="10"/>
      <c r="U56" s="10"/>
      <c r="V56" s="10"/>
      <c r="W56" s="10"/>
    </row>
    <row r="57" spans="19:23" x14ac:dyDescent="0.2">
      <c r="S57" s="10"/>
      <c r="T57" s="10"/>
      <c r="U57" s="10"/>
      <c r="V57" s="10"/>
      <c r="W57" s="10"/>
    </row>
    <row r="58" spans="19:23" x14ac:dyDescent="0.2">
      <c r="S58" s="10"/>
      <c r="T58" s="10"/>
      <c r="U58" s="10"/>
      <c r="V58" s="10"/>
      <c r="W58" s="10"/>
    </row>
    <row r="59" spans="19:23" x14ac:dyDescent="0.2">
      <c r="S59" s="10"/>
      <c r="T59" s="10"/>
      <c r="U59" s="10"/>
      <c r="V59" s="10"/>
      <c r="W59" s="10"/>
    </row>
    <row r="60" spans="19:23" x14ac:dyDescent="0.2">
      <c r="S60" s="10"/>
      <c r="T60" s="10"/>
      <c r="U60" s="10"/>
      <c r="V60" s="10"/>
      <c r="W60" s="10"/>
    </row>
    <row r="61" spans="19:23" x14ac:dyDescent="0.2">
      <c r="S61" s="10"/>
      <c r="T61" s="10"/>
      <c r="U61" s="10"/>
      <c r="V61" s="10"/>
      <c r="W61" s="10"/>
    </row>
    <row r="62" spans="19:23" x14ac:dyDescent="0.2">
      <c r="S62" s="10"/>
      <c r="T62" s="10"/>
      <c r="U62" s="10"/>
      <c r="V62" s="10"/>
      <c r="W62" s="10"/>
    </row>
    <row r="63" spans="19:23" x14ac:dyDescent="0.2">
      <c r="S63" s="10"/>
      <c r="T63" s="10"/>
      <c r="U63" s="10"/>
      <c r="V63" s="10"/>
      <c r="W63" s="10"/>
    </row>
    <row r="64" spans="19:23" x14ac:dyDescent="0.2">
      <c r="S64" s="10"/>
      <c r="T64" s="10"/>
      <c r="U64" s="10"/>
      <c r="V64" s="10"/>
      <c r="W64" s="10"/>
    </row>
    <row r="65" spans="19:23" x14ac:dyDescent="0.2">
      <c r="S65" s="10"/>
      <c r="T65" s="10"/>
      <c r="U65" s="10"/>
      <c r="V65" s="10"/>
      <c r="W65" s="10"/>
    </row>
    <row r="66" spans="19:23" x14ac:dyDescent="0.2">
      <c r="S66" s="10"/>
      <c r="T66" s="10"/>
      <c r="U66" s="10"/>
      <c r="V66" s="10"/>
      <c r="W66" s="10"/>
    </row>
    <row r="67" spans="19:23" x14ac:dyDescent="0.2">
      <c r="S67" s="10"/>
      <c r="T67" s="10"/>
      <c r="U67" s="10"/>
      <c r="V67" s="10"/>
      <c r="W67" s="10"/>
    </row>
    <row r="68" spans="19:23" x14ac:dyDescent="0.2">
      <c r="S68" s="10"/>
      <c r="T68" s="10"/>
      <c r="U68" s="10"/>
      <c r="V68" s="10"/>
      <c r="W68" s="10"/>
    </row>
    <row r="69" spans="19:23" x14ac:dyDescent="0.2">
      <c r="S69" s="10"/>
      <c r="T69" s="10"/>
      <c r="U69" s="10"/>
      <c r="V69" s="10"/>
      <c r="W69" s="10"/>
    </row>
    <row r="70" spans="19:23" x14ac:dyDescent="0.2">
      <c r="S70" s="10"/>
      <c r="T70" s="10"/>
      <c r="U70" s="10"/>
      <c r="V70" s="10"/>
      <c r="W70" s="10"/>
    </row>
    <row r="71" spans="19:23" x14ac:dyDescent="0.2">
      <c r="S71" s="10"/>
      <c r="T71" s="10"/>
      <c r="U71" s="10"/>
      <c r="V71" s="10"/>
      <c r="W71" s="10"/>
    </row>
    <row r="72" spans="19:23" x14ac:dyDescent="0.2">
      <c r="S72" s="10"/>
      <c r="T72" s="10"/>
      <c r="U72" s="10"/>
      <c r="V72" s="10"/>
      <c r="W72" s="10"/>
    </row>
    <row r="73" spans="19:23" x14ac:dyDescent="0.2">
      <c r="S73" s="10"/>
      <c r="T73" s="10"/>
      <c r="U73" s="10"/>
      <c r="V73" s="10"/>
      <c r="W73" s="10"/>
    </row>
    <row r="74" spans="19:23" x14ac:dyDescent="0.2">
      <c r="S74" s="10"/>
      <c r="T74" s="10"/>
      <c r="U74" s="10"/>
      <c r="V74" s="10"/>
      <c r="W74" s="10"/>
    </row>
    <row r="75" spans="19:23" x14ac:dyDescent="0.2">
      <c r="S75" s="10"/>
      <c r="T75" s="10"/>
      <c r="U75" s="10"/>
      <c r="V75" s="10"/>
      <c r="W75" s="10"/>
    </row>
    <row r="76" spans="19:23" x14ac:dyDescent="0.2">
      <c r="S76" s="10"/>
      <c r="T76" s="10"/>
      <c r="U76" s="10"/>
      <c r="V76" s="10"/>
      <c r="W76" s="10"/>
    </row>
    <row r="77" spans="19:23" x14ac:dyDescent="0.2">
      <c r="S77" s="10"/>
      <c r="T77" s="10"/>
      <c r="U77" s="10"/>
      <c r="V77" s="10"/>
      <c r="W77" s="10"/>
    </row>
    <row r="78" spans="19:23" x14ac:dyDescent="0.2">
      <c r="S78" s="10"/>
      <c r="T78" s="10"/>
      <c r="U78" s="10"/>
      <c r="V78" s="10"/>
      <c r="W78" s="10"/>
    </row>
    <row r="79" spans="19:23" x14ac:dyDescent="0.2">
      <c r="S79" s="10"/>
      <c r="T79" s="10"/>
      <c r="U79" s="10"/>
      <c r="V79" s="10"/>
      <c r="W79" s="10"/>
    </row>
    <row r="80" spans="19:23" x14ac:dyDescent="0.2">
      <c r="S80" s="10"/>
      <c r="T80" s="10"/>
      <c r="U80" s="10"/>
      <c r="V80" s="10"/>
      <c r="W80" s="10"/>
    </row>
    <row r="81" spans="19:23" x14ac:dyDescent="0.2">
      <c r="S81" s="10"/>
      <c r="T81" s="10"/>
      <c r="U81" s="10"/>
      <c r="V81" s="10"/>
      <c r="W81" s="10"/>
    </row>
    <row r="82" spans="19:23" x14ac:dyDescent="0.2">
      <c r="S82" s="10"/>
      <c r="T82" s="10"/>
      <c r="U82" s="10"/>
      <c r="V82" s="10"/>
      <c r="W82" s="10"/>
    </row>
    <row r="83" spans="19:23" x14ac:dyDescent="0.2">
      <c r="S83" s="10"/>
      <c r="T83" s="10"/>
      <c r="U83" s="10"/>
      <c r="V83" s="10"/>
      <c r="W83" s="10"/>
    </row>
    <row r="84" spans="19:23" x14ac:dyDescent="0.2">
      <c r="S84" s="10"/>
      <c r="T84" s="10"/>
      <c r="U84" s="10"/>
      <c r="V84" s="10"/>
      <c r="W84" s="10"/>
    </row>
    <row r="85" spans="19:23" x14ac:dyDescent="0.2">
      <c r="S85" s="10"/>
      <c r="T85" s="10"/>
      <c r="U85" s="10"/>
      <c r="V85" s="10"/>
      <c r="W85" s="10"/>
    </row>
    <row r="86" spans="19:23" x14ac:dyDescent="0.2">
      <c r="S86" s="10"/>
      <c r="T86" s="10"/>
      <c r="U86" s="10"/>
      <c r="V86" s="10"/>
      <c r="W86" s="10"/>
    </row>
    <row r="87" spans="19:23" x14ac:dyDescent="0.2">
      <c r="S87" s="10"/>
      <c r="T87" s="10"/>
      <c r="U87" s="10"/>
      <c r="V87" s="10"/>
      <c r="W87" s="10"/>
    </row>
    <row r="88" spans="19:23" x14ac:dyDescent="0.2">
      <c r="S88" s="10"/>
      <c r="T88" s="10"/>
      <c r="U88" s="10"/>
      <c r="V88" s="10"/>
      <c r="W88" s="10"/>
    </row>
    <row r="89" spans="19:23" x14ac:dyDescent="0.2">
      <c r="S89" s="10"/>
      <c r="T89" s="10"/>
      <c r="U89" s="10"/>
      <c r="V89" s="10"/>
      <c r="W89" s="10"/>
    </row>
    <row r="90" spans="19:23" x14ac:dyDescent="0.2">
      <c r="S90" s="10"/>
      <c r="T90" s="10"/>
      <c r="U90" s="10"/>
      <c r="V90" s="10"/>
      <c r="W90" s="10"/>
    </row>
    <row r="91" spans="19:23" x14ac:dyDescent="0.2">
      <c r="S91" s="10"/>
      <c r="T91" s="10"/>
      <c r="U91" s="10"/>
      <c r="V91" s="10"/>
      <c r="W91" s="10"/>
    </row>
    <row r="92" spans="19:23" x14ac:dyDescent="0.2">
      <c r="S92" s="10"/>
      <c r="T92" s="10"/>
      <c r="U92" s="10"/>
      <c r="V92" s="10"/>
      <c r="W92" s="10"/>
    </row>
    <row r="93" spans="19:23" x14ac:dyDescent="0.2">
      <c r="S93" s="10"/>
      <c r="T93" s="10"/>
      <c r="U93" s="10"/>
      <c r="V93" s="10"/>
      <c r="W93" s="10"/>
    </row>
    <row r="94" spans="19:23" x14ac:dyDescent="0.2">
      <c r="S94" s="10"/>
      <c r="T94" s="10"/>
      <c r="U94" s="10"/>
      <c r="V94" s="10"/>
      <c r="W94" s="10"/>
    </row>
    <row r="95" spans="19:23" x14ac:dyDescent="0.2">
      <c r="S95" s="10"/>
      <c r="T95" s="10"/>
      <c r="U95" s="10"/>
      <c r="V95" s="10"/>
      <c r="W95" s="10"/>
    </row>
    <row r="96" spans="19:23" x14ac:dyDescent="0.2">
      <c r="S96" s="10"/>
      <c r="T96" s="10"/>
      <c r="U96" s="10"/>
      <c r="V96" s="10"/>
      <c r="W96" s="10"/>
    </row>
    <row r="97" spans="19:23" x14ac:dyDescent="0.2">
      <c r="S97" s="10"/>
      <c r="T97" s="10"/>
      <c r="U97" s="10"/>
      <c r="V97" s="10"/>
      <c r="W97" s="10"/>
    </row>
    <row r="98" spans="19:23" x14ac:dyDescent="0.2">
      <c r="S98" s="10"/>
      <c r="T98" s="10"/>
      <c r="U98" s="10"/>
      <c r="V98" s="10"/>
      <c r="W98" s="10"/>
    </row>
    <row r="99" spans="19:23" x14ac:dyDescent="0.2">
      <c r="S99" s="10"/>
      <c r="T99" s="10"/>
      <c r="U99" s="10"/>
      <c r="V99" s="10"/>
      <c r="W99" s="10"/>
    </row>
    <row r="100" spans="19:23" x14ac:dyDescent="0.2">
      <c r="S100" s="10"/>
      <c r="T100" s="10"/>
      <c r="U100" s="10"/>
      <c r="V100" s="10"/>
      <c r="W100" s="10"/>
    </row>
    <row r="101" spans="19:23" x14ac:dyDescent="0.2">
      <c r="S101" s="10"/>
      <c r="T101" s="10"/>
      <c r="U101" s="10"/>
      <c r="V101" s="10"/>
      <c r="W101" s="10"/>
    </row>
    <row r="102" spans="19:23" x14ac:dyDescent="0.2">
      <c r="S102" s="10"/>
      <c r="T102" s="10"/>
      <c r="U102" s="10"/>
      <c r="V102" s="10"/>
      <c r="W102" s="10"/>
    </row>
    <row r="103" spans="19:23" x14ac:dyDescent="0.2">
      <c r="S103" s="10"/>
      <c r="T103" s="10"/>
      <c r="U103" s="10"/>
      <c r="V103" s="10"/>
      <c r="W103" s="10"/>
    </row>
    <row r="104" spans="19:23" x14ac:dyDescent="0.2">
      <c r="S104" s="10"/>
      <c r="T104" s="10"/>
      <c r="U104" s="10"/>
      <c r="V104" s="10"/>
      <c r="W104" s="10"/>
    </row>
    <row r="105" spans="19:23" x14ac:dyDescent="0.2">
      <c r="S105" s="10"/>
      <c r="T105" s="10"/>
      <c r="U105" s="10"/>
      <c r="V105" s="10"/>
      <c r="W105" s="10"/>
    </row>
    <row r="106" spans="19:23" x14ac:dyDescent="0.2">
      <c r="S106" s="10"/>
      <c r="T106" s="10"/>
      <c r="U106" s="10"/>
      <c r="V106" s="10"/>
      <c r="W106" s="10"/>
    </row>
    <row r="107" spans="19:23" x14ac:dyDescent="0.2">
      <c r="S107" s="10"/>
      <c r="T107" s="10"/>
      <c r="U107" s="10"/>
      <c r="V107" s="10"/>
      <c r="W107" s="10"/>
    </row>
    <row r="108" spans="19:23" x14ac:dyDescent="0.2">
      <c r="S108" s="10"/>
      <c r="T108" s="10"/>
      <c r="U108" s="10"/>
      <c r="V108" s="10"/>
      <c r="W108" s="10"/>
    </row>
    <row r="109" spans="19:23" x14ac:dyDescent="0.2">
      <c r="S109" s="10"/>
      <c r="T109" s="10"/>
      <c r="U109" s="10"/>
      <c r="V109" s="10"/>
      <c r="W109" s="10"/>
    </row>
    <row r="110" spans="19:23" x14ac:dyDescent="0.2">
      <c r="S110" s="10"/>
      <c r="T110" s="10"/>
      <c r="U110" s="10"/>
      <c r="V110" s="10"/>
      <c r="W110" s="10"/>
    </row>
    <row r="111" spans="19:23" x14ac:dyDescent="0.2">
      <c r="S111" s="10"/>
      <c r="T111" s="10"/>
      <c r="U111" s="10"/>
      <c r="V111" s="10"/>
      <c r="W111" s="10"/>
    </row>
    <row r="112" spans="19:23" x14ac:dyDescent="0.2">
      <c r="S112" s="10"/>
      <c r="T112" s="10"/>
      <c r="U112" s="10"/>
      <c r="V112" s="10"/>
      <c r="W112" s="10"/>
    </row>
    <row r="113" spans="19:23" x14ac:dyDescent="0.2">
      <c r="S113" s="10"/>
      <c r="T113" s="10"/>
      <c r="U113" s="10"/>
      <c r="V113" s="10"/>
      <c r="W113" s="10"/>
    </row>
    <row r="114" spans="19:23" x14ac:dyDescent="0.2">
      <c r="S114" s="10"/>
      <c r="T114" s="10"/>
      <c r="U114" s="10"/>
      <c r="V114" s="10"/>
      <c r="W114" s="10"/>
    </row>
    <row r="115" spans="19:23" x14ac:dyDescent="0.2">
      <c r="S115" s="10"/>
      <c r="T115" s="10"/>
      <c r="U115" s="10"/>
      <c r="V115" s="10"/>
      <c r="W115" s="10"/>
    </row>
    <row r="116" spans="19:23" x14ac:dyDescent="0.2">
      <c r="S116" s="10"/>
      <c r="T116" s="10"/>
      <c r="U116" s="10"/>
      <c r="V116" s="10"/>
      <c r="W116" s="10"/>
    </row>
    <row r="117" spans="19:23" x14ac:dyDescent="0.2">
      <c r="S117" s="10"/>
      <c r="T117" s="10"/>
      <c r="U117" s="10"/>
      <c r="V117" s="10"/>
      <c r="W117" s="10"/>
    </row>
    <row r="118" spans="19:23" x14ac:dyDescent="0.2">
      <c r="S118" s="10"/>
      <c r="T118" s="10"/>
      <c r="U118" s="10"/>
      <c r="V118" s="10"/>
      <c r="W118" s="10"/>
    </row>
    <row r="119" spans="19:23" x14ac:dyDescent="0.2">
      <c r="S119" s="10"/>
      <c r="T119" s="10"/>
      <c r="U119" s="10"/>
      <c r="V119" s="10"/>
      <c r="W119" s="10"/>
    </row>
    <row r="120" spans="19:23" x14ac:dyDescent="0.2">
      <c r="S120" s="10"/>
      <c r="T120" s="10"/>
      <c r="U120" s="10"/>
      <c r="V120" s="10"/>
      <c r="W120" s="10"/>
    </row>
    <row r="121" spans="19:23" x14ac:dyDescent="0.2">
      <c r="S121" s="10"/>
      <c r="T121" s="10"/>
      <c r="U121" s="10"/>
      <c r="V121" s="10"/>
      <c r="W121" s="10"/>
    </row>
    <row r="122" spans="19:23" x14ac:dyDescent="0.2">
      <c r="S122" s="10"/>
      <c r="T122" s="10"/>
      <c r="U122" s="10"/>
      <c r="V122" s="10"/>
      <c r="W122" s="10"/>
    </row>
    <row r="123" spans="19:23" x14ac:dyDescent="0.2">
      <c r="S123" s="10"/>
      <c r="T123" s="10"/>
      <c r="U123" s="10"/>
      <c r="V123" s="10"/>
      <c r="W123" s="10"/>
    </row>
    <row r="124" spans="19:23" x14ac:dyDescent="0.2">
      <c r="S124" s="10"/>
      <c r="T124" s="10"/>
      <c r="U124" s="10"/>
      <c r="V124" s="10"/>
      <c r="W124" s="10"/>
    </row>
    <row r="125" spans="19:23" x14ac:dyDescent="0.2">
      <c r="S125" s="10"/>
      <c r="T125" s="10"/>
      <c r="U125" s="10"/>
      <c r="V125" s="10"/>
      <c r="W125" s="10"/>
    </row>
    <row r="126" spans="19:23" x14ac:dyDescent="0.2">
      <c r="S126" s="10"/>
      <c r="T126" s="10"/>
      <c r="U126" s="10"/>
      <c r="V126" s="10"/>
      <c r="W126" s="10"/>
    </row>
    <row r="127" spans="19:23" x14ac:dyDescent="0.2">
      <c r="S127" s="10"/>
      <c r="T127" s="10"/>
      <c r="U127" s="10"/>
      <c r="V127" s="10"/>
      <c r="W127" s="10"/>
    </row>
    <row r="128" spans="19:23" x14ac:dyDescent="0.2">
      <c r="S128" s="10"/>
      <c r="T128" s="10"/>
      <c r="U128" s="10"/>
      <c r="V128" s="10"/>
      <c r="W128" s="10"/>
    </row>
    <row r="129" spans="19:23" x14ac:dyDescent="0.2">
      <c r="S129" s="10"/>
      <c r="T129" s="10"/>
      <c r="U129" s="10"/>
      <c r="V129" s="10"/>
      <c r="W129" s="10"/>
    </row>
    <row r="130" spans="19:23" x14ac:dyDescent="0.2">
      <c r="S130" s="10"/>
      <c r="T130" s="10"/>
      <c r="U130" s="10"/>
      <c r="V130" s="10"/>
      <c r="W130" s="10"/>
    </row>
    <row r="131" spans="19:23" x14ac:dyDescent="0.2">
      <c r="S131" s="10"/>
      <c r="T131" s="10"/>
      <c r="U131" s="10"/>
      <c r="V131" s="10"/>
      <c r="W131" s="10"/>
    </row>
  </sheetData>
  <sheetProtection sheet="1" objects="1" scenarios="1"/>
  <mergeCells count="1">
    <mergeCell ref="F17:J17"/>
  </mergeCells>
  <phoneticPr fontId="0" type="noConversion"/>
  <hyperlinks>
    <hyperlink ref="I2" location="'Menú Principa'!A1" display="'Menú Principa'!A1"/>
  </hyperlinks>
  <pageMargins left="0.75" right="0.75" top="1" bottom="1" header="0" footer="0"/>
  <pageSetup orientation="landscape" horizontalDpi="4294967294" r:id="rId1"/>
  <headerFooter alignWithMargins="0"/>
  <ignoredErrors>
    <ignoredError sqref="C7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A1:Z41"/>
  <sheetViews>
    <sheetView showGridLines="0" showRowColHeaders="0" workbookViewId="0">
      <selection activeCell="D5" sqref="D5"/>
    </sheetView>
  </sheetViews>
  <sheetFormatPr baseColWidth="10" defaultRowHeight="12.75" x14ac:dyDescent="0.2"/>
  <cols>
    <col min="1" max="1" width="31.28515625" style="1" customWidth="1"/>
    <col min="2" max="2" width="3.28515625" style="1" customWidth="1"/>
    <col min="3" max="3" width="13.140625" style="15" customWidth="1"/>
    <col min="4" max="5" width="11.42578125" style="1"/>
    <col min="6" max="6" width="31.5703125" style="1" customWidth="1"/>
    <col min="7" max="7" width="3.28515625" style="1" customWidth="1"/>
    <col min="8" max="20" width="11.42578125" style="1"/>
    <col min="21" max="21" width="20.42578125" style="1" customWidth="1"/>
    <col min="22" max="22" width="13.42578125" style="1" customWidth="1"/>
    <col min="23" max="23" width="11.42578125" style="1"/>
    <col min="24" max="24" width="18" style="1" customWidth="1"/>
    <col min="25" max="16384" width="11.42578125" style="1"/>
  </cols>
  <sheetData>
    <row r="1" spans="1:25" ht="18" x14ac:dyDescent="0.25">
      <c r="A1" s="173" t="s">
        <v>392</v>
      </c>
    </row>
    <row r="2" spans="1:25" ht="18" x14ac:dyDescent="0.25">
      <c r="A2" s="173" t="s">
        <v>472</v>
      </c>
    </row>
    <row r="3" spans="1:25" x14ac:dyDescent="0.2">
      <c r="A3" s="1" t="s">
        <v>481</v>
      </c>
      <c r="F3" s="1" t="s">
        <v>471</v>
      </c>
    </row>
    <row r="4" spans="1:25" x14ac:dyDescent="0.2">
      <c r="A4" s="15" t="str">
        <f>Asimilables!A3</f>
        <v>Ejercicio Fiscal de 2010</v>
      </c>
      <c r="C4" s="1"/>
      <c r="U4" s="335" t="s">
        <v>384</v>
      </c>
    </row>
    <row r="5" spans="1:25" x14ac:dyDescent="0.2">
      <c r="D5" s="23" t="s">
        <v>372</v>
      </c>
      <c r="Y5" s="23" t="s">
        <v>468</v>
      </c>
    </row>
    <row r="6" spans="1:25" x14ac:dyDescent="0.2">
      <c r="A6" s="361" t="s">
        <v>489</v>
      </c>
      <c r="F6" s="362" t="s">
        <v>490</v>
      </c>
      <c r="U6" s="1" t="s">
        <v>385</v>
      </c>
    </row>
    <row r="7" spans="1:25" x14ac:dyDescent="0.2">
      <c r="C7" s="30"/>
      <c r="F7" s="363" t="s">
        <v>491</v>
      </c>
      <c r="H7" s="31"/>
    </row>
    <row r="8" spans="1:25" x14ac:dyDescent="0.2">
      <c r="A8" s="1" t="s">
        <v>378</v>
      </c>
      <c r="C8" s="367">
        <f>Semanal!J2</f>
        <v>57.46</v>
      </c>
      <c r="F8" s="364" t="s">
        <v>492</v>
      </c>
      <c r="H8" s="504"/>
      <c r="U8" s="1" t="s">
        <v>233</v>
      </c>
      <c r="V8" s="82">
        <f>C19</f>
        <v>7456.5</v>
      </c>
    </row>
    <row r="9" spans="1:25" x14ac:dyDescent="0.2">
      <c r="C9" s="30"/>
      <c r="H9" s="504"/>
      <c r="U9" s="1" t="s">
        <v>300</v>
      </c>
      <c r="V9" s="216">
        <f>+VLOOKUP($V$8,Mensual,1)</f>
        <v>7399.43</v>
      </c>
    </row>
    <row r="10" spans="1:25" x14ac:dyDescent="0.2">
      <c r="A10" s="1" t="s">
        <v>477</v>
      </c>
      <c r="B10" s="59" t="s">
        <v>47</v>
      </c>
      <c r="C10" s="366">
        <f>1395.64*30</f>
        <v>41869.200000000004</v>
      </c>
      <c r="F10" s="1" t="s">
        <v>376</v>
      </c>
      <c r="G10" s="59"/>
      <c r="H10" s="502">
        <f>+C19</f>
        <v>7456.5</v>
      </c>
      <c r="U10" s="1" t="s">
        <v>10</v>
      </c>
      <c r="V10" s="82">
        <f>+V8-V9</f>
        <v>57.069999999999709</v>
      </c>
    </row>
    <row r="11" spans="1:25" x14ac:dyDescent="0.2">
      <c r="C11" s="368"/>
      <c r="H11" s="505"/>
      <c r="U11" s="1" t="s">
        <v>11</v>
      </c>
      <c r="V11" s="334">
        <f>+VLOOKUP($V$8,Mensual,4)</f>
        <v>0.16</v>
      </c>
    </row>
    <row r="12" spans="1:25" x14ac:dyDescent="0.2">
      <c r="A12" s="1" t="s">
        <v>473</v>
      </c>
      <c r="C12" s="368"/>
      <c r="F12" s="1" t="s">
        <v>477</v>
      </c>
      <c r="G12" s="59"/>
      <c r="H12" s="502">
        <f>C10</f>
        <v>41869.200000000004</v>
      </c>
      <c r="U12" s="1" t="s">
        <v>12</v>
      </c>
      <c r="V12" s="82">
        <f>+ROUND(V10*V11,2)</f>
        <v>9.1300000000000008</v>
      </c>
    </row>
    <row r="13" spans="1:25" x14ac:dyDescent="0.2">
      <c r="A13" s="1" t="s">
        <v>474</v>
      </c>
      <c r="B13" s="59" t="s">
        <v>47</v>
      </c>
      <c r="C13" s="365">
        <v>2</v>
      </c>
      <c r="H13" s="505"/>
      <c r="U13" s="1" t="s">
        <v>13</v>
      </c>
      <c r="V13" s="216">
        <f>+VLOOKUP($V$8,Mensual,3)</f>
        <v>594.24</v>
      </c>
    </row>
    <row r="14" spans="1:25" x14ac:dyDescent="0.2">
      <c r="C14" s="368"/>
      <c r="F14" s="1" t="s">
        <v>473</v>
      </c>
      <c r="H14" s="505"/>
      <c r="U14" s="1" t="s">
        <v>14</v>
      </c>
      <c r="V14" s="78">
        <f>+V12+V13</f>
        <v>603.37</v>
      </c>
    </row>
    <row r="15" spans="1:25" x14ac:dyDescent="0.2">
      <c r="A15" s="1" t="s">
        <v>475</v>
      </c>
      <c r="C15" s="502">
        <f>ROUND((C8*90)*C13,0)</f>
        <v>10343</v>
      </c>
      <c r="F15" s="1" t="s">
        <v>474</v>
      </c>
      <c r="G15" s="59"/>
      <c r="H15" s="506">
        <f>C13</f>
        <v>2</v>
      </c>
    </row>
    <row r="16" spans="1:25" x14ac:dyDescent="0.2">
      <c r="C16" s="387"/>
      <c r="H16" s="505"/>
    </row>
    <row r="17" spans="1:26" x14ac:dyDescent="0.2">
      <c r="A17" s="1" t="s">
        <v>476</v>
      </c>
      <c r="C17" s="502">
        <f>IF(C15&gt;C10,0,C10-C15)</f>
        <v>31526.200000000004</v>
      </c>
      <c r="F17" s="1" t="s">
        <v>475</v>
      </c>
      <c r="H17" s="502">
        <f>ROUND((C8*90)*H15,0)</f>
        <v>10343</v>
      </c>
      <c r="U17" s="67" t="s">
        <v>483</v>
      </c>
      <c r="V17" s="10"/>
      <c r="W17" s="10"/>
      <c r="X17" s="10"/>
      <c r="Y17" s="10"/>
      <c r="Z17" s="10"/>
    </row>
    <row r="18" spans="1:26" x14ac:dyDescent="0.2">
      <c r="C18" s="368"/>
      <c r="H18" s="505"/>
      <c r="U18" s="10"/>
      <c r="V18" s="10"/>
      <c r="W18" s="10"/>
      <c r="X18" s="10"/>
      <c r="Y18" s="10"/>
      <c r="Z18" s="10"/>
    </row>
    <row r="19" spans="1:26" x14ac:dyDescent="0.2">
      <c r="A19" s="1" t="s">
        <v>376</v>
      </c>
      <c r="B19" s="59" t="s">
        <v>47</v>
      </c>
      <c r="C19" s="366">
        <v>7456.5</v>
      </c>
      <c r="F19" s="1" t="s">
        <v>476</v>
      </c>
      <c r="G19" s="59"/>
      <c r="H19" s="502">
        <f>IF(H17&gt;H12,0,H12-H17)</f>
        <v>31526.200000000004</v>
      </c>
      <c r="U19" s="10" t="s">
        <v>484</v>
      </c>
      <c r="V19" s="141"/>
      <c r="W19" s="10"/>
      <c r="X19" s="10"/>
      <c r="Y19" s="10"/>
      <c r="Z19" s="10"/>
    </row>
    <row r="20" spans="1:26" x14ac:dyDescent="0.2">
      <c r="C20" s="368"/>
      <c r="H20" s="505"/>
      <c r="U20" s="10" t="s">
        <v>485</v>
      </c>
      <c r="V20" s="141"/>
      <c r="W20" s="10"/>
      <c r="X20" s="10"/>
      <c r="Y20" s="10"/>
      <c r="Z20" s="10"/>
    </row>
    <row r="21" spans="1:26" x14ac:dyDescent="0.2">
      <c r="A21" s="1" t="s">
        <v>482</v>
      </c>
      <c r="C21" s="503">
        <f>IF(C19=0,0,V26)</f>
        <v>8.09E-2</v>
      </c>
      <c r="F21" s="336" t="s">
        <v>379</v>
      </c>
      <c r="G21" s="59"/>
      <c r="H21" s="507"/>
      <c r="U21" s="10" t="s">
        <v>486</v>
      </c>
      <c r="V21" s="78">
        <f>V14</f>
        <v>603.37</v>
      </c>
      <c r="W21" s="10"/>
      <c r="X21" s="359"/>
      <c r="Y21" s="141"/>
      <c r="Z21" s="10"/>
    </row>
    <row r="22" spans="1:26" x14ac:dyDescent="0.2">
      <c r="C22" s="387"/>
      <c r="H22" s="505"/>
      <c r="U22" s="10"/>
      <c r="V22" s="141"/>
      <c r="W22" s="10"/>
      <c r="X22" s="10"/>
      <c r="Y22" s="141"/>
      <c r="Z22" s="10"/>
    </row>
    <row r="23" spans="1:26" x14ac:dyDescent="0.2">
      <c r="A23" s="1" t="s">
        <v>488</v>
      </c>
      <c r="C23" s="502">
        <f>ROUND(C17*C21,0)</f>
        <v>2550</v>
      </c>
      <c r="F23" s="10" t="s">
        <v>478</v>
      </c>
      <c r="G23" s="10"/>
      <c r="H23" s="507"/>
      <c r="I23" s="10"/>
      <c r="U23" s="10" t="s">
        <v>487</v>
      </c>
      <c r="V23" s="141"/>
      <c r="W23" s="10"/>
      <c r="X23" s="10"/>
      <c r="Y23" s="141"/>
      <c r="Z23" s="10"/>
    </row>
    <row r="24" spans="1:26" x14ac:dyDescent="0.2">
      <c r="C24" s="30"/>
      <c r="F24" s="10" t="s">
        <v>479</v>
      </c>
      <c r="G24" s="10"/>
      <c r="H24" s="507"/>
      <c r="I24" s="10"/>
      <c r="J24" s="10"/>
      <c r="K24" s="141"/>
      <c r="L24" s="10"/>
      <c r="U24" s="10" t="s">
        <v>486</v>
      </c>
      <c r="V24" s="78">
        <f>V8</f>
        <v>7456.5</v>
      </c>
      <c r="W24" s="10"/>
      <c r="X24" s="10"/>
      <c r="Y24" s="358"/>
      <c r="Z24" s="10"/>
    </row>
    <row r="25" spans="1:26" x14ac:dyDescent="0.2">
      <c r="F25" s="10" t="s">
        <v>480</v>
      </c>
      <c r="G25" s="10"/>
      <c r="H25" s="508"/>
      <c r="I25" s="10"/>
      <c r="J25" s="10"/>
      <c r="K25" s="141"/>
      <c r="L25" s="10"/>
      <c r="U25" s="10"/>
      <c r="V25" s="141"/>
      <c r="W25" s="10"/>
      <c r="X25" s="10"/>
      <c r="Y25" s="141"/>
      <c r="Z25" s="10"/>
    </row>
    <row r="26" spans="1:26" x14ac:dyDescent="0.2">
      <c r="F26" s="67" t="s">
        <v>493</v>
      </c>
      <c r="G26" s="10"/>
      <c r="H26" s="507"/>
      <c r="I26" s="10"/>
      <c r="J26" s="10"/>
      <c r="K26" s="141"/>
      <c r="L26" s="10"/>
      <c r="U26" s="10" t="s">
        <v>138</v>
      </c>
      <c r="V26" s="360">
        <f>ROUND(V21/V24,4)</f>
        <v>8.09E-2</v>
      </c>
      <c r="W26" s="10"/>
      <c r="X26" s="10"/>
      <c r="Y26" s="141"/>
      <c r="Z26" s="10"/>
    </row>
    <row r="27" spans="1:26" x14ac:dyDescent="0.2">
      <c r="A27" s="10"/>
      <c r="B27" s="10"/>
      <c r="C27" s="67"/>
      <c r="D27" s="10"/>
      <c r="F27" s="67" t="s">
        <v>494</v>
      </c>
      <c r="G27" s="10"/>
      <c r="H27" s="502">
        <f>IF(H10&gt;H19,0,H19-H10)</f>
        <v>24069.700000000004</v>
      </c>
      <c r="I27" s="10"/>
      <c r="U27" s="10"/>
      <c r="V27" s="141"/>
      <c r="W27" s="10"/>
      <c r="X27" s="10"/>
      <c r="Y27" s="141"/>
      <c r="Z27" s="10"/>
    </row>
    <row r="28" spans="1:26" x14ac:dyDescent="0.2">
      <c r="A28" s="10"/>
      <c r="B28" s="10"/>
      <c r="C28" s="67"/>
      <c r="D28" s="10"/>
      <c r="H28" s="508"/>
      <c r="U28" s="10"/>
      <c r="V28" s="141"/>
      <c r="W28" s="10"/>
      <c r="X28" s="10"/>
      <c r="Y28" s="10"/>
      <c r="Z28" s="10"/>
    </row>
    <row r="29" spans="1:26" x14ac:dyDescent="0.2">
      <c r="A29" s="10"/>
      <c r="B29" s="10"/>
      <c r="C29" s="67"/>
      <c r="D29" s="10"/>
      <c r="H29" s="508"/>
      <c r="U29" s="10"/>
      <c r="V29" s="141"/>
      <c r="W29" s="10"/>
      <c r="X29" s="10"/>
      <c r="Y29" s="10"/>
      <c r="Z29" s="10"/>
    </row>
    <row r="30" spans="1:26" x14ac:dyDescent="0.2">
      <c r="A30" s="10"/>
      <c r="B30" s="10"/>
      <c r="C30" s="67"/>
      <c r="D30" s="10"/>
      <c r="U30" s="10"/>
      <c r="V30" s="141"/>
      <c r="W30" s="10"/>
      <c r="X30" s="10"/>
      <c r="Y30" s="10"/>
      <c r="Z30" s="10"/>
    </row>
    <row r="31" spans="1:26" x14ac:dyDescent="0.2">
      <c r="A31" s="10"/>
      <c r="B31" s="10"/>
      <c r="C31" s="67"/>
      <c r="D31" s="10"/>
      <c r="U31" s="10"/>
      <c r="V31" s="358"/>
      <c r="W31" s="10"/>
      <c r="X31" s="10"/>
      <c r="Y31" s="10"/>
      <c r="Z31" s="10"/>
    </row>
    <row r="32" spans="1:26" x14ac:dyDescent="0.2">
      <c r="A32" s="10"/>
      <c r="B32" s="10"/>
      <c r="C32" s="67"/>
      <c r="D32" s="10"/>
      <c r="U32" s="10"/>
      <c r="V32" s="141"/>
      <c r="W32" s="10"/>
      <c r="X32" s="10"/>
      <c r="Y32" s="10"/>
      <c r="Z32" s="10"/>
    </row>
    <row r="33" spans="1:26" x14ac:dyDescent="0.2">
      <c r="A33" s="10"/>
      <c r="B33" s="10"/>
      <c r="C33" s="67"/>
      <c r="D33" s="10"/>
      <c r="U33" s="10"/>
      <c r="V33" s="141"/>
      <c r="W33" s="10"/>
      <c r="X33" s="10"/>
      <c r="Y33" s="10"/>
      <c r="Z33" s="10"/>
    </row>
    <row r="34" spans="1:26" x14ac:dyDescent="0.2">
      <c r="U34" s="10"/>
      <c r="V34" s="10"/>
      <c r="W34" s="10"/>
      <c r="X34" s="10"/>
      <c r="Y34" s="10"/>
      <c r="Z34" s="10"/>
    </row>
    <row r="35" spans="1:26" x14ac:dyDescent="0.2">
      <c r="U35" s="10"/>
      <c r="V35" s="10"/>
      <c r="W35" s="10"/>
      <c r="X35" s="10"/>
      <c r="Y35" s="10"/>
      <c r="Z35" s="10"/>
    </row>
    <row r="36" spans="1:26" x14ac:dyDescent="0.2">
      <c r="U36" s="10"/>
      <c r="V36" s="10"/>
      <c r="W36" s="10"/>
      <c r="X36" s="10"/>
      <c r="Y36" s="10"/>
      <c r="Z36" s="10"/>
    </row>
    <row r="37" spans="1:26" x14ac:dyDescent="0.2">
      <c r="U37" s="10"/>
      <c r="V37" s="10"/>
      <c r="W37" s="10"/>
      <c r="X37" s="10"/>
      <c r="Y37" s="10"/>
      <c r="Z37" s="10"/>
    </row>
    <row r="38" spans="1:26" x14ac:dyDescent="0.2">
      <c r="U38" s="10"/>
      <c r="V38" s="10"/>
      <c r="W38" s="10"/>
      <c r="X38" s="10"/>
      <c r="Y38" s="10"/>
      <c r="Z38" s="10"/>
    </row>
    <row r="39" spans="1:26" x14ac:dyDescent="0.2">
      <c r="U39" s="10"/>
      <c r="V39" s="10"/>
      <c r="W39" s="10"/>
      <c r="X39" s="10"/>
      <c r="Y39" s="10"/>
      <c r="Z39" s="10"/>
    </row>
    <row r="40" spans="1:26" x14ac:dyDescent="0.2">
      <c r="U40" s="10"/>
      <c r="V40" s="10"/>
      <c r="W40" s="10"/>
      <c r="X40" s="10"/>
      <c r="Y40" s="10"/>
      <c r="Z40" s="10"/>
    </row>
    <row r="41" spans="1:26" x14ac:dyDescent="0.2">
      <c r="U41" s="10"/>
      <c r="V41" s="10"/>
      <c r="W41" s="10"/>
      <c r="X41" s="10"/>
      <c r="Y41" s="10"/>
      <c r="Z41" s="10"/>
    </row>
  </sheetData>
  <sheetProtection sheet="1"/>
  <phoneticPr fontId="46" type="noConversion"/>
  <hyperlinks>
    <hyperlink ref="D5" location="'Menú Principa'!A1" display="Regresa al Menú Anterior"/>
    <hyperlink ref="Y5" location="Aguinaldos!A1" display="Regresar"/>
  </hyperlinks>
  <pageMargins left="0.70866141732283472" right="0.70866141732283472" top="0.74803149606299213" bottom="0.74803149606299213" header="0.31496062992125984" footer="0.31496062992125984"/>
  <pageSetup scale="97" orientation="landscape" r:id="rId1"/>
  <ignoredErrors>
    <ignoredError sqref="H15 H19 H10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">
    <pageSetUpPr fitToPage="1"/>
  </sheetPr>
  <dimension ref="A1:AA107"/>
  <sheetViews>
    <sheetView showGridLines="0" showRowColHeaders="0" workbookViewId="0">
      <selection activeCell="G1" sqref="G1"/>
    </sheetView>
  </sheetViews>
  <sheetFormatPr baseColWidth="10" defaultRowHeight="12.75" x14ac:dyDescent="0.2"/>
  <cols>
    <col min="1" max="1" width="11.42578125" style="1"/>
    <col min="2" max="2" width="22.5703125" style="1" customWidth="1"/>
    <col min="3" max="3" width="15.7109375" style="1" customWidth="1"/>
    <col min="4" max="4" width="4.140625" style="1" customWidth="1"/>
    <col min="5" max="5" width="11.42578125" style="1"/>
    <col min="6" max="6" width="8" style="1" customWidth="1"/>
    <col min="7" max="7" width="13.140625" style="1" customWidth="1"/>
    <col min="8" max="8" width="2.7109375" style="1" customWidth="1"/>
    <col min="9" max="10" width="13.28515625" style="1" customWidth="1"/>
    <col min="11" max="11" width="3.5703125" style="1" customWidth="1"/>
    <col min="12" max="12" width="11.42578125" style="1"/>
    <col min="13" max="13" width="15" style="1" customWidth="1"/>
    <col min="14" max="16384" width="11.42578125" style="1"/>
  </cols>
  <sheetData>
    <row r="1" spans="1:27" x14ac:dyDescent="0.2">
      <c r="A1" s="30" t="s">
        <v>71</v>
      </c>
      <c r="B1" s="31"/>
      <c r="C1" s="31"/>
      <c r="D1" s="31"/>
      <c r="E1" s="31"/>
      <c r="G1" s="24" t="s">
        <v>56</v>
      </c>
    </row>
    <row r="2" spans="1:27" x14ac:dyDescent="0.2">
      <c r="A2" s="15" t="str">
        <f>Separacion!A4</f>
        <v>Ejercicio Fiscal de 2010</v>
      </c>
      <c r="B2" s="31"/>
      <c r="C2" s="31"/>
      <c r="D2" s="31"/>
      <c r="E2" s="31"/>
      <c r="F2" s="10"/>
      <c r="H2" s="24"/>
      <c r="I2" s="28"/>
      <c r="R2" s="1" t="s">
        <v>8</v>
      </c>
      <c r="T2" s="1">
        <f>+C16</f>
        <v>0</v>
      </c>
    </row>
    <row r="3" spans="1:27" x14ac:dyDescent="0.2">
      <c r="A3" s="30"/>
      <c r="B3" s="31"/>
      <c r="C3" s="31"/>
      <c r="D3" s="31"/>
      <c r="E3" s="31"/>
      <c r="F3" s="10"/>
      <c r="G3" s="23"/>
      <c r="H3" s="24"/>
      <c r="I3" s="28"/>
      <c r="R3" s="1" t="s">
        <v>9</v>
      </c>
      <c r="T3" s="3" t="e">
        <f>+VLOOKUP($T$2,Mensual,1)</f>
        <v>#N/A</v>
      </c>
    </row>
    <row r="4" spans="1:27" x14ac:dyDescent="0.2">
      <c r="A4" s="156" t="s">
        <v>221</v>
      </c>
      <c r="B4" s="157"/>
      <c r="C4" s="211">
        <v>1</v>
      </c>
      <c r="D4" s="31"/>
      <c r="E4" s="31"/>
      <c r="F4" s="10"/>
      <c r="G4" s="24"/>
      <c r="H4" s="24"/>
      <c r="I4" s="28"/>
      <c r="R4" s="1" t="s">
        <v>10</v>
      </c>
      <c r="T4" s="1" t="e">
        <f>+T2-T3</f>
        <v>#N/A</v>
      </c>
    </row>
    <row r="5" spans="1:27" x14ac:dyDescent="0.2">
      <c r="A5" s="134" t="s">
        <v>190</v>
      </c>
      <c r="B5" s="124"/>
      <c r="C5" s="205" t="s">
        <v>136</v>
      </c>
      <c r="D5" s="206"/>
      <c r="E5" s="206"/>
      <c r="F5" s="206"/>
      <c r="G5" s="207"/>
      <c r="H5" s="161" t="s">
        <v>47</v>
      </c>
      <c r="I5" s="28"/>
      <c r="R5" s="1" t="s">
        <v>11</v>
      </c>
      <c r="T5" s="73" t="e">
        <f>+VLOOKUP($T$2,Mensual,4)</f>
        <v>#N/A</v>
      </c>
    </row>
    <row r="6" spans="1:27" x14ac:dyDescent="0.2">
      <c r="A6" s="134" t="s">
        <v>191</v>
      </c>
      <c r="B6" s="125"/>
      <c r="C6" s="205" t="s">
        <v>136</v>
      </c>
      <c r="D6" s="206"/>
      <c r="E6" s="206"/>
      <c r="F6" s="206"/>
      <c r="G6" s="207"/>
      <c r="H6" s="161" t="s">
        <v>47</v>
      </c>
      <c r="I6" s="28"/>
      <c r="R6" s="1" t="s">
        <v>12</v>
      </c>
      <c r="T6" s="1" t="e">
        <f>ROUND(T4*T5,2)</f>
        <v>#N/A</v>
      </c>
      <c r="U6" s="10"/>
    </row>
    <row r="7" spans="1:27" x14ac:dyDescent="0.2">
      <c r="A7" s="134" t="s">
        <v>216</v>
      </c>
      <c r="B7" s="125"/>
      <c r="C7" s="205" t="s">
        <v>136</v>
      </c>
      <c r="D7" s="206"/>
      <c r="E7" s="206"/>
      <c r="F7" s="206"/>
      <c r="G7" s="207"/>
      <c r="H7" s="161" t="s">
        <v>47</v>
      </c>
      <c r="I7" s="28"/>
      <c r="R7" s="1" t="s">
        <v>13</v>
      </c>
      <c r="T7" s="3" t="e">
        <f>+VLOOKUP($T$2,Mensual,3)</f>
        <v>#N/A</v>
      </c>
      <c r="U7" s="10"/>
    </row>
    <row r="8" spans="1:27" x14ac:dyDescent="0.2">
      <c r="A8" s="134" t="s">
        <v>161</v>
      </c>
      <c r="B8" s="125"/>
      <c r="C8" s="208" t="s">
        <v>136</v>
      </c>
      <c r="D8" s="209"/>
      <c r="E8" s="209"/>
      <c r="F8" s="209"/>
      <c r="G8" s="210"/>
      <c r="H8" s="161" t="s">
        <v>47</v>
      </c>
      <c r="I8" s="28"/>
      <c r="R8" s="1" t="s">
        <v>14</v>
      </c>
      <c r="T8" s="41" t="e">
        <f>+T6+T7</f>
        <v>#N/A</v>
      </c>
      <c r="U8" s="10"/>
    </row>
    <row r="9" spans="1:27" x14ac:dyDescent="0.2">
      <c r="A9" s="32"/>
      <c r="B9" s="32"/>
      <c r="C9" s="32"/>
      <c r="D9" s="33"/>
      <c r="E9" s="34"/>
      <c r="F9" s="10"/>
      <c r="G9" s="10"/>
      <c r="H9" s="10"/>
      <c r="I9" s="10"/>
      <c r="T9" s="10"/>
      <c r="U9" s="10"/>
    </row>
    <row r="10" spans="1:27" x14ac:dyDescent="0.2">
      <c r="A10" s="32"/>
      <c r="B10" s="32"/>
      <c r="C10" s="162" t="s">
        <v>76</v>
      </c>
      <c r="D10" s="44"/>
      <c r="F10" s="10"/>
      <c r="G10" s="10"/>
      <c r="H10" s="10"/>
      <c r="I10" s="10"/>
      <c r="J10" s="132" t="s">
        <v>125</v>
      </c>
      <c r="R10" s="25"/>
      <c r="S10" s="25"/>
      <c r="T10" s="26"/>
      <c r="U10" s="25"/>
      <c r="V10" s="25"/>
      <c r="W10" s="25"/>
      <c r="X10" s="25"/>
      <c r="Z10" s="25"/>
      <c r="AA10" s="25"/>
    </row>
    <row r="11" spans="1:27" x14ac:dyDescent="0.2">
      <c r="A11" s="32" t="s">
        <v>95</v>
      </c>
      <c r="B11" s="32"/>
      <c r="C11" s="65">
        <v>0</v>
      </c>
      <c r="D11" s="38" t="s">
        <v>47</v>
      </c>
      <c r="E11" s="32" t="s">
        <v>95</v>
      </c>
      <c r="F11" s="10"/>
      <c r="G11" s="10"/>
      <c r="H11" s="10"/>
      <c r="J11" s="65">
        <f>C11</f>
        <v>0</v>
      </c>
      <c r="K11" s="1" t="s">
        <v>111</v>
      </c>
      <c r="R11" s="25"/>
      <c r="S11" s="25"/>
      <c r="T11" s="26"/>
      <c r="U11" s="25"/>
      <c r="V11" s="25"/>
      <c r="W11" s="25"/>
      <c r="X11" s="25"/>
      <c r="Z11" s="25"/>
      <c r="AA11" s="25"/>
    </row>
    <row r="12" spans="1:27" x14ac:dyDescent="0.2">
      <c r="A12" s="32" t="s">
        <v>501</v>
      </c>
      <c r="B12" s="32"/>
      <c r="C12" s="126">
        <f>ROUND(C11*0.35,2)</f>
        <v>0</v>
      </c>
      <c r="D12" s="32"/>
      <c r="E12" s="10" t="s">
        <v>140</v>
      </c>
      <c r="F12" s="10"/>
      <c r="G12" s="10"/>
      <c r="H12" s="10"/>
      <c r="I12" s="28"/>
      <c r="R12" s="25"/>
      <c r="S12" s="25"/>
      <c r="T12" s="26"/>
      <c r="U12" s="25"/>
      <c r="V12" s="25"/>
      <c r="W12" s="25"/>
      <c r="X12" s="25"/>
      <c r="Z12" s="25"/>
      <c r="AA12" s="25"/>
    </row>
    <row r="13" spans="1:27" x14ac:dyDescent="0.2">
      <c r="A13" s="1" t="s">
        <v>124</v>
      </c>
      <c r="E13" s="1" t="s">
        <v>206</v>
      </c>
      <c r="R13" s="25"/>
      <c r="S13" s="25"/>
      <c r="T13" s="26"/>
      <c r="U13" s="25"/>
      <c r="V13" s="25"/>
      <c r="W13" s="25"/>
      <c r="X13" s="25"/>
      <c r="Z13" s="25"/>
      <c r="AA13" s="25"/>
    </row>
    <row r="14" spans="1:27" x14ac:dyDescent="0.2">
      <c r="A14" s="1" t="s">
        <v>188</v>
      </c>
      <c r="C14" s="77">
        <v>0</v>
      </c>
      <c r="D14" s="38" t="s">
        <v>47</v>
      </c>
      <c r="E14" s="1" t="s">
        <v>599</v>
      </c>
      <c r="J14" s="65">
        <v>0</v>
      </c>
      <c r="K14" s="15" t="s">
        <v>47</v>
      </c>
      <c r="R14" s="25"/>
      <c r="S14" s="25"/>
      <c r="T14" s="26"/>
      <c r="U14" s="25"/>
      <c r="V14" s="25"/>
      <c r="W14" s="25"/>
      <c r="X14" s="25"/>
      <c r="Z14" s="25"/>
      <c r="AA14" s="25"/>
    </row>
    <row r="15" spans="1:27" ht="13.5" thickBot="1" x14ac:dyDescent="0.25">
      <c r="D15" s="32"/>
      <c r="R15" s="25"/>
      <c r="S15" s="25"/>
      <c r="T15" s="26"/>
      <c r="U15" s="25"/>
      <c r="V15" s="25"/>
      <c r="W15" s="25"/>
      <c r="X15" s="25"/>
      <c r="Z15" s="25"/>
      <c r="AA15" s="25"/>
    </row>
    <row r="16" spans="1:27" ht="13.5" thickBot="1" x14ac:dyDescent="0.25">
      <c r="A16" s="32" t="s">
        <v>72</v>
      </c>
      <c r="B16" s="32"/>
      <c r="C16" s="127">
        <f>+C11-C12-C14</f>
        <v>0</v>
      </c>
      <c r="D16" s="32"/>
      <c r="E16" s="1" t="s">
        <v>207</v>
      </c>
      <c r="J16" s="78">
        <f>J11-J14</f>
        <v>0</v>
      </c>
      <c r="N16" s="2"/>
      <c r="R16" s="25"/>
      <c r="S16" s="25"/>
      <c r="T16" s="26"/>
      <c r="U16" s="25"/>
      <c r="V16" s="25"/>
      <c r="W16" s="25"/>
      <c r="X16" s="25"/>
      <c r="Z16" s="25"/>
      <c r="AA16" s="25"/>
    </row>
    <row r="17" spans="1:27" x14ac:dyDescent="0.2">
      <c r="A17" s="32"/>
      <c r="B17" s="32"/>
      <c r="C17" s="128"/>
      <c r="D17" s="35"/>
      <c r="N17" s="2"/>
      <c r="T17" s="2"/>
      <c r="V17" s="25"/>
      <c r="W17" s="25"/>
      <c r="Z17" s="25"/>
      <c r="AA17" s="25"/>
    </row>
    <row r="18" spans="1:27" x14ac:dyDescent="0.2">
      <c r="B18" s="66" t="s">
        <v>73</v>
      </c>
      <c r="C18" s="126">
        <f>IF(C11=0,0,T8)</f>
        <v>0</v>
      </c>
      <c r="D18" s="32"/>
      <c r="E18" s="67" t="s">
        <v>126</v>
      </c>
      <c r="F18" s="10"/>
      <c r="G18" s="10"/>
      <c r="H18" s="10"/>
      <c r="I18" s="10"/>
      <c r="J18" s="78">
        <f>SUM(I19:I32)</f>
        <v>0</v>
      </c>
      <c r="N18" s="4"/>
      <c r="T18" s="2"/>
      <c r="Z18" s="25"/>
      <c r="AA18" s="25"/>
    </row>
    <row r="19" spans="1:27" x14ac:dyDescent="0.2">
      <c r="A19" s="32"/>
      <c r="B19" s="32"/>
      <c r="C19" s="35"/>
      <c r="E19" s="10" t="s">
        <v>127</v>
      </c>
      <c r="I19" s="84">
        <f>C14</f>
        <v>0</v>
      </c>
      <c r="N19" s="4"/>
      <c r="T19" s="2"/>
      <c r="Z19" s="25"/>
      <c r="AA19" s="25"/>
    </row>
    <row r="20" spans="1:27" x14ac:dyDescent="0.2">
      <c r="A20" s="32" t="s">
        <v>94</v>
      </c>
      <c r="B20" s="32"/>
      <c r="C20" s="65">
        <v>0</v>
      </c>
      <c r="D20" s="38" t="s">
        <v>47</v>
      </c>
      <c r="E20" s="10" t="s">
        <v>128</v>
      </c>
      <c r="H20" s="59" t="s">
        <v>47</v>
      </c>
      <c r="I20" s="151">
        <v>0</v>
      </c>
      <c r="N20" s="4"/>
      <c r="Z20" s="25"/>
      <c r="AA20" s="25"/>
    </row>
    <row r="21" spans="1:27" ht="13.5" thickBot="1" x14ac:dyDescent="0.25">
      <c r="A21" s="32"/>
      <c r="B21" s="32"/>
      <c r="C21" s="32"/>
      <c r="D21" s="35"/>
      <c r="E21" s="10" t="s">
        <v>129</v>
      </c>
      <c r="H21" s="59" t="s">
        <v>47</v>
      </c>
      <c r="I21" s="151">
        <v>0</v>
      </c>
      <c r="Z21" s="25"/>
      <c r="AA21" s="25"/>
    </row>
    <row r="22" spans="1:27" ht="13.5" thickBot="1" x14ac:dyDescent="0.25">
      <c r="B22" s="66" t="s">
        <v>74</v>
      </c>
      <c r="C22" s="392">
        <f>IF(C18&gt;C20,C18-C20,0)</f>
        <v>0</v>
      </c>
      <c r="D22" s="35"/>
      <c r="E22" s="10" t="s">
        <v>130</v>
      </c>
      <c r="H22" s="59" t="s">
        <v>47</v>
      </c>
      <c r="I22" s="151">
        <v>0</v>
      </c>
      <c r="O22" s="29"/>
      <c r="Z22" s="25"/>
      <c r="AA22" s="25"/>
    </row>
    <row r="23" spans="1:27" ht="13.5" thickBot="1" x14ac:dyDescent="0.25">
      <c r="B23" s="66" t="s">
        <v>75</v>
      </c>
      <c r="C23" s="391">
        <f>IF(C20&gt;C18,C20-C18,0)</f>
        <v>0</v>
      </c>
      <c r="D23" s="32"/>
      <c r="E23" s="10" t="s">
        <v>131</v>
      </c>
      <c r="H23" s="59" t="s">
        <v>47</v>
      </c>
      <c r="I23" s="151">
        <v>0</v>
      </c>
    </row>
    <row r="24" spans="1:27" x14ac:dyDescent="0.2">
      <c r="A24" s="32"/>
      <c r="B24" s="32"/>
      <c r="C24" s="32"/>
      <c r="E24" s="10" t="s">
        <v>132</v>
      </c>
      <c r="H24" s="59" t="s">
        <v>47</v>
      </c>
      <c r="I24" s="151">
        <v>0</v>
      </c>
    </row>
    <row r="25" spans="1:27" x14ac:dyDescent="0.2">
      <c r="E25" s="10" t="s">
        <v>133</v>
      </c>
      <c r="H25" s="59" t="s">
        <v>47</v>
      </c>
      <c r="I25" s="151">
        <v>0</v>
      </c>
      <c r="L25" s="15"/>
    </row>
    <row r="26" spans="1:27" x14ac:dyDescent="0.2">
      <c r="C26" s="10"/>
      <c r="D26" s="32"/>
      <c r="E26" s="32" t="s">
        <v>134</v>
      </c>
      <c r="H26" s="59" t="s">
        <v>47</v>
      </c>
      <c r="I26" s="151">
        <v>0</v>
      </c>
    </row>
    <row r="27" spans="1:27" x14ac:dyDescent="0.2">
      <c r="A27" s="10"/>
      <c r="B27" s="10"/>
      <c r="C27" s="10"/>
      <c r="D27" s="32"/>
      <c r="E27" s="10" t="s">
        <v>135</v>
      </c>
      <c r="H27" s="59" t="s">
        <v>47</v>
      </c>
      <c r="I27" s="151">
        <v>0</v>
      </c>
      <c r="V27" s="10"/>
      <c r="W27" s="10"/>
    </row>
    <row r="28" spans="1:27" x14ac:dyDescent="0.2">
      <c r="A28" s="10"/>
      <c r="B28" s="10"/>
      <c r="C28" s="10"/>
      <c r="D28" s="32"/>
      <c r="E28" s="1" t="s">
        <v>136</v>
      </c>
      <c r="F28" s="10"/>
      <c r="G28" s="10"/>
      <c r="H28" s="59" t="s">
        <v>47</v>
      </c>
      <c r="I28" s="37">
        <v>0</v>
      </c>
      <c r="J28" s="10"/>
      <c r="V28" s="10"/>
      <c r="W28" s="10"/>
    </row>
    <row r="29" spans="1:27" x14ac:dyDescent="0.2">
      <c r="A29" s="10"/>
      <c r="B29" s="10"/>
      <c r="C29" s="10"/>
      <c r="D29" s="32"/>
      <c r="E29" s="56" t="s">
        <v>136</v>
      </c>
      <c r="F29" s="56"/>
      <c r="G29" s="56"/>
      <c r="H29" s="59" t="s">
        <v>47</v>
      </c>
      <c r="I29" s="37">
        <v>0</v>
      </c>
      <c r="J29" s="10"/>
      <c r="V29" s="10"/>
      <c r="W29" s="10"/>
    </row>
    <row r="30" spans="1:27" x14ac:dyDescent="0.2">
      <c r="A30" s="10"/>
      <c r="B30" s="10"/>
      <c r="C30" s="10"/>
      <c r="D30" s="10"/>
      <c r="E30" s="56" t="s">
        <v>136</v>
      </c>
      <c r="F30" s="56"/>
      <c r="G30" s="56"/>
      <c r="H30" s="59" t="s">
        <v>47</v>
      </c>
      <c r="I30" s="37">
        <v>0</v>
      </c>
      <c r="J30" s="10"/>
      <c r="V30" s="10"/>
      <c r="W30" s="10"/>
    </row>
    <row r="31" spans="1:27" x14ac:dyDescent="0.2">
      <c r="A31" s="10"/>
      <c r="B31" s="10"/>
      <c r="C31" s="10"/>
      <c r="D31" s="10"/>
      <c r="E31" s="56" t="s">
        <v>136</v>
      </c>
      <c r="F31" s="56"/>
      <c r="G31" s="79"/>
      <c r="H31" s="59" t="s">
        <v>47</v>
      </c>
      <c r="I31" s="37">
        <v>0</v>
      </c>
      <c r="J31" s="10"/>
      <c r="T31" s="10"/>
      <c r="V31" s="10"/>
    </row>
    <row r="32" spans="1:27" x14ac:dyDescent="0.2">
      <c r="E32" s="56" t="s">
        <v>136</v>
      </c>
      <c r="F32" s="56"/>
      <c r="G32" s="150"/>
      <c r="H32" s="59" t="s">
        <v>47</v>
      </c>
      <c r="I32" s="159">
        <v>0</v>
      </c>
      <c r="J32" s="10"/>
      <c r="Q32" s="10"/>
      <c r="R32" s="10"/>
      <c r="S32" s="10"/>
      <c r="T32" s="10"/>
      <c r="U32" s="10"/>
      <c r="V32" s="10"/>
    </row>
    <row r="33" spans="1:21" x14ac:dyDescent="0.2">
      <c r="E33" s="10"/>
      <c r="F33" s="10"/>
      <c r="G33" s="10"/>
      <c r="H33" s="10"/>
      <c r="I33" s="10"/>
      <c r="J33" s="10"/>
      <c r="Q33" s="10"/>
      <c r="R33" s="10"/>
      <c r="S33" s="10"/>
      <c r="T33" s="10"/>
      <c r="U33" s="10"/>
    </row>
    <row r="34" spans="1:21" x14ac:dyDescent="0.2">
      <c r="E34" s="10" t="s">
        <v>137</v>
      </c>
      <c r="F34" s="10"/>
      <c r="G34" s="10"/>
      <c r="H34" s="10"/>
      <c r="I34" s="10"/>
      <c r="J34" s="78">
        <f>J16-J18</f>
        <v>0</v>
      </c>
      <c r="Q34" s="10"/>
      <c r="R34" s="67"/>
      <c r="S34" s="10"/>
      <c r="T34" s="10"/>
      <c r="U34" s="10"/>
    </row>
    <row r="35" spans="1:21" x14ac:dyDescent="0.2">
      <c r="E35" s="10" t="s">
        <v>138</v>
      </c>
      <c r="F35" s="10"/>
      <c r="G35" s="10"/>
      <c r="H35" s="10"/>
      <c r="I35" s="10"/>
      <c r="J35" s="449">
        <v>0.17499999999999999</v>
      </c>
      <c r="Q35" s="10"/>
      <c r="R35" s="10"/>
      <c r="S35" s="10"/>
      <c r="T35" s="10"/>
      <c r="U35" s="10"/>
    </row>
    <row r="36" spans="1:21" x14ac:dyDescent="0.2">
      <c r="E36" s="10"/>
      <c r="F36" s="10"/>
      <c r="G36" s="10"/>
      <c r="H36" s="10"/>
      <c r="I36" s="10"/>
      <c r="J36" s="10"/>
      <c r="Q36" s="10"/>
      <c r="S36" s="10"/>
      <c r="T36" s="10"/>
      <c r="U36" s="10"/>
    </row>
    <row r="37" spans="1:21" x14ac:dyDescent="0.2">
      <c r="E37" s="10" t="s">
        <v>139</v>
      </c>
      <c r="F37" s="10"/>
      <c r="G37" s="10"/>
      <c r="H37" s="10"/>
      <c r="I37" s="10"/>
      <c r="J37" s="78">
        <f>+ROUND(J34*J35,2)</f>
        <v>0</v>
      </c>
      <c r="Q37" s="10"/>
      <c r="S37" s="10"/>
      <c r="T37" s="10"/>
      <c r="U37" s="10"/>
    </row>
    <row r="38" spans="1:21" x14ac:dyDescent="0.2">
      <c r="E38" s="15" t="s">
        <v>140</v>
      </c>
      <c r="T38" s="10"/>
    </row>
    <row r="39" spans="1:21" x14ac:dyDescent="0.2">
      <c r="E39" s="1" t="s">
        <v>224</v>
      </c>
      <c r="J39" s="80">
        <v>0</v>
      </c>
      <c r="K39" s="1" t="s">
        <v>47</v>
      </c>
      <c r="T39" s="10"/>
    </row>
    <row r="40" spans="1:21" x14ac:dyDescent="0.2">
      <c r="E40" s="1" t="s">
        <v>218</v>
      </c>
      <c r="J40" s="160">
        <v>0</v>
      </c>
      <c r="K40" s="1" t="s">
        <v>47</v>
      </c>
      <c r="T40" s="10"/>
    </row>
    <row r="41" spans="1:21" x14ac:dyDescent="0.2">
      <c r="E41" s="1" t="s">
        <v>141</v>
      </c>
      <c r="J41" s="82">
        <f>IF(C20&gt;C18,C20,C18)</f>
        <v>0</v>
      </c>
      <c r="T41" s="10"/>
    </row>
    <row r="42" spans="1:21" x14ac:dyDescent="0.2">
      <c r="T42" s="10"/>
    </row>
    <row r="43" spans="1:21" x14ac:dyDescent="0.2">
      <c r="E43" s="1" t="s">
        <v>208</v>
      </c>
      <c r="J43" s="130">
        <f>IF((J39+J40+J41)&gt;J37,0,J37-J39-J40-J41)</f>
        <v>0</v>
      </c>
      <c r="T43" s="10"/>
    </row>
    <row r="44" spans="1:21" ht="13.5" thickBo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T44" s="10"/>
    </row>
    <row r="45" spans="1:2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T45" s="10"/>
    </row>
    <row r="46" spans="1:21" x14ac:dyDescent="0.2">
      <c r="C46" s="133" t="s">
        <v>192</v>
      </c>
      <c r="T46" s="10"/>
    </row>
    <row r="47" spans="1:21" x14ac:dyDescent="0.2">
      <c r="A47" s="1" t="s">
        <v>604</v>
      </c>
      <c r="C47" s="77">
        <v>0</v>
      </c>
      <c r="D47" s="38" t="s">
        <v>47</v>
      </c>
      <c r="T47" s="10"/>
    </row>
    <row r="48" spans="1:21" x14ac:dyDescent="0.2">
      <c r="A48" s="1" t="s">
        <v>605</v>
      </c>
      <c r="C48" s="77">
        <v>0</v>
      </c>
      <c r="D48" s="38" t="s">
        <v>47</v>
      </c>
      <c r="T48" s="10"/>
    </row>
    <row r="49" spans="1:20" x14ac:dyDescent="0.2">
      <c r="A49" s="1" t="s">
        <v>195</v>
      </c>
      <c r="C49" s="77">
        <v>0</v>
      </c>
      <c r="D49" s="38" t="s">
        <v>47</v>
      </c>
      <c r="T49" s="10"/>
    </row>
    <row r="50" spans="1:20" x14ac:dyDescent="0.2">
      <c r="A50" s="1" t="s">
        <v>196</v>
      </c>
      <c r="C50" s="77">
        <v>0</v>
      </c>
      <c r="D50" s="38" t="s">
        <v>47</v>
      </c>
      <c r="T50" s="10"/>
    </row>
    <row r="51" spans="1:20" x14ac:dyDescent="0.2">
      <c r="A51" s="1" t="s">
        <v>193</v>
      </c>
      <c r="C51" s="77">
        <v>0</v>
      </c>
      <c r="D51" s="38" t="s">
        <v>47</v>
      </c>
      <c r="T51" s="10"/>
    </row>
    <row r="52" spans="1:20" x14ac:dyDescent="0.2">
      <c r="A52" s="1" t="s">
        <v>194</v>
      </c>
      <c r="C52" s="77">
        <v>0</v>
      </c>
      <c r="D52" s="38" t="s">
        <v>47</v>
      </c>
      <c r="T52" s="10"/>
    </row>
    <row r="53" spans="1:20" ht="13.5" thickBot="1" x14ac:dyDescent="0.25">
      <c r="C53" s="81"/>
      <c r="D53" s="38"/>
      <c r="T53" s="10"/>
    </row>
    <row r="54" spans="1:20" ht="13.5" thickBot="1" x14ac:dyDescent="0.25">
      <c r="B54" s="15" t="s">
        <v>204</v>
      </c>
      <c r="C54" s="51">
        <f>SUM(C47:C53)</f>
        <v>0</v>
      </c>
      <c r="D54" s="38"/>
      <c r="T54" s="10"/>
    </row>
    <row r="55" spans="1:20" x14ac:dyDescent="0.2">
      <c r="C55" s="15"/>
      <c r="T55" s="10"/>
    </row>
    <row r="56" spans="1:20" x14ac:dyDescent="0.2">
      <c r="A56" s="1" t="s">
        <v>197</v>
      </c>
      <c r="C56" s="78">
        <f>ROUND(C47*0.16,2)+ROUND(C48*0.11,2)+ROUND(C51*0.15,2)+ROUND(C52*0.1,2)</f>
        <v>0</v>
      </c>
      <c r="T56" s="10"/>
    </row>
    <row r="57" spans="1:20" x14ac:dyDescent="0.2">
      <c r="C57" s="15"/>
      <c r="T57" s="10"/>
    </row>
    <row r="58" spans="1:20" x14ac:dyDescent="0.2">
      <c r="A58" s="1" t="s">
        <v>198</v>
      </c>
      <c r="C58" s="77">
        <v>0</v>
      </c>
      <c r="D58" s="38" t="s">
        <v>47</v>
      </c>
      <c r="T58" s="10"/>
    </row>
    <row r="59" spans="1:20" x14ac:dyDescent="0.2">
      <c r="A59" s="1" t="s">
        <v>199</v>
      </c>
      <c r="C59" s="15"/>
      <c r="T59" s="10"/>
    </row>
    <row r="60" spans="1:20" x14ac:dyDescent="0.2">
      <c r="A60" s="1" t="s">
        <v>200</v>
      </c>
      <c r="C60" s="77">
        <v>0</v>
      </c>
      <c r="D60" s="38" t="s">
        <v>47</v>
      </c>
      <c r="T60" s="10"/>
    </row>
    <row r="61" spans="1:20" x14ac:dyDescent="0.2">
      <c r="C61" s="15"/>
      <c r="T61" s="10"/>
    </row>
    <row r="62" spans="1:20" x14ac:dyDescent="0.2">
      <c r="A62" s="1" t="s">
        <v>201</v>
      </c>
      <c r="C62" s="78">
        <f>IF(C56&gt;(C58+C60),C56-C58-C60,0)</f>
        <v>0</v>
      </c>
      <c r="T62" s="10"/>
    </row>
    <row r="63" spans="1:20" x14ac:dyDescent="0.2">
      <c r="A63" s="1" t="s">
        <v>202</v>
      </c>
      <c r="C63" s="78">
        <f>IF(C56&lt;(C58+C60),C58+C60-C56,0)</f>
        <v>0</v>
      </c>
      <c r="T63" s="10"/>
    </row>
    <row r="64" spans="1:20" x14ac:dyDescent="0.2">
      <c r="C64" s="15"/>
      <c r="T64" s="10"/>
    </row>
    <row r="65" spans="1:20" x14ac:dyDescent="0.2">
      <c r="A65" s="1" t="s">
        <v>203</v>
      </c>
      <c r="C65" s="77">
        <v>0</v>
      </c>
      <c r="D65" s="38" t="s">
        <v>47</v>
      </c>
      <c r="T65" s="10"/>
    </row>
    <row r="66" spans="1:20" x14ac:dyDescent="0.2">
      <c r="C66" s="15"/>
      <c r="T66" s="10"/>
    </row>
    <row r="67" spans="1:20" x14ac:dyDescent="0.2">
      <c r="A67" s="1" t="s">
        <v>205</v>
      </c>
      <c r="C67" s="131">
        <f>IF(C62&gt;C65,C62-C65,0)</f>
        <v>0</v>
      </c>
      <c r="T67" s="10"/>
    </row>
    <row r="68" spans="1:20" x14ac:dyDescent="0.2">
      <c r="T68" s="10"/>
    </row>
    <row r="69" spans="1:20" x14ac:dyDescent="0.2">
      <c r="T69" s="10"/>
    </row>
    <row r="70" spans="1:20" x14ac:dyDescent="0.2">
      <c r="T70" s="10"/>
    </row>
    <row r="71" spans="1:20" x14ac:dyDescent="0.2">
      <c r="T71" s="10"/>
    </row>
    <row r="72" spans="1:20" x14ac:dyDescent="0.2">
      <c r="T72" s="10"/>
    </row>
    <row r="73" spans="1:20" x14ac:dyDescent="0.2">
      <c r="T73" s="10"/>
    </row>
    <row r="74" spans="1:20" x14ac:dyDescent="0.2">
      <c r="T74" s="10"/>
    </row>
    <row r="75" spans="1:20" x14ac:dyDescent="0.2">
      <c r="T75" s="10"/>
    </row>
    <row r="76" spans="1:20" x14ac:dyDescent="0.2">
      <c r="T76" s="10"/>
    </row>
    <row r="77" spans="1:20" x14ac:dyDescent="0.2">
      <c r="T77" s="10"/>
    </row>
    <row r="78" spans="1:20" x14ac:dyDescent="0.2">
      <c r="T78" s="10"/>
    </row>
    <row r="79" spans="1:20" x14ac:dyDescent="0.2">
      <c r="T79" s="10"/>
    </row>
    <row r="80" spans="1:20" x14ac:dyDescent="0.2">
      <c r="T80" s="10"/>
    </row>
    <row r="81" spans="20:20" x14ac:dyDescent="0.2">
      <c r="T81" s="10"/>
    </row>
    <row r="82" spans="20:20" x14ac:dyDescent="0.2">
      <c r="T82" s="10"/>
    </row>
    <row r="83" spans="20:20" x14ac:dyDescent="0.2">
      <c r="T83" s="10"/>
    </row>
    <row r="84" spans="20:20" x14ac:dyDescent="0.2">
      <c r="T84" s="10"/>
    </row>
    <row r="85" spans="20:20" x14ac:dyDescent="0.2">
      <c r="T85" s="10"/>
    </row>
    <row r="86" spans="20:20" x14ac:dyDescent="0.2">
      <c r="T86" s="10"/>
    </row>
    <row r="87" spans="20:20" x14ac:dyDescent="0.2">
      <c r="T87" s="10"/>
    </row>
    <row r="88" spans="20:20" x14ac:dyDescent="0.2">
      <c r="T88" s="10"/>
    </row>
    <row r="89" spans="20:20" x14ac:dyDescent="0.2">
      <c r="T89" s="10"/>
    </row>
    <row r="90" spans="20:20" x14ac:dyDescent="0.2">
      <c r="T90" s="10"/>
    </row>
    <row r="91" spans="20:20" x14ac:dyDescent="0.2">
      <c r="T91" s="10"/>
    </row>
    <row r="92" spans="20:20" x14ac:dyDescent="0.2">
      <c r="T92" s="10"/>
    </row>
    <row r="93" spans="20:20" x14ac:dyDescent="0.2">
      <c r="T93" s="10"/>
    </row>
    <row r="94" spans="20:20" x14ac:dyDescent="0.2">
      <c r="T94" s="10"/>
    </row>
    <row r="95" spans="20:20" x14ac:dyDescent="0.2">
      <c r="T95" s="10"/>
    </row>
    <row r="96" spans="20:20" x14ac:dyDescent="0.2">
      <c r="T96" s="10"/>
    </row>
    <row r="97" spans="20:20" x14ac:dyDescent="0.2">
      <c r="T97" s="10"/>
    </row>
    <row r="98" spans="20:20" x14ac:dyDescent="0.2">
      <c r="T98" s="10"/>
    </row>
    <row r="99" spans="20:20" x14ac:dyDescent="0.2">
      <c r="T99" s="10"/>
    </row>
    <row r="100" spans="20:20" x14ac:dyDescent="0.2">
      <c r="T100" s="10"/>
    </row>
    <row r="101" spans="20:20" x14ac:dyDescent="0.2">
      <c r="T101" s="10"/>
    </row>
    <row r="102" spans="20:20" x14ac:dyDescent="0.2">
      <c r="T102" s="10"/>
    </row>
    <row r="103" spans="20:20" x14ac:dyDescent="0.2">
      <c r="T103" s="10"/>
    </row>
    <row r="104" spans="20:20" x14ac:dyDescent="0.2">
      <c r="T104" s="10"/>
    </row>
    <row r="105" spans="20:20" x14ac:dyDescent="0.2">
      <c r="T105" s="10"/>
    </row>
    <row r="106" spans="20:20" x14ac:dyDescent="0.2">
      <c r="T106" s="10"/>
    </row>
    <row r="107" spans="20:20" x14ac:dyDescent="0.2">
      <c r="T107" s="10"/>
    </row>
  </sheetData>
  <sheetProtection sheet="1"/>
  <phoneticPr fontId="0" type="noConversion"/>
  <hyperlinks>
    <hyperlink ref="G1" location="'Menú Principa'!A1" display="'Menú Principa'!A1"/>
  </hyperlinks>
  <pageMargins left="0.75" right="0.75" top="1" bottom="1" header="0" footer="0"/>
  <pageSetup orientation="landscape" horizontalDpi="4294967295" verticalDpi="300" r:id="rId1"/>
  <headerFooter alignWithMargins="0"/>
  <ignoredErrors>
    <ignoredError sqref="J11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38</vt:i4>
      </vt:variant>
    </vt:vector>
  </HeadingPairs>
  <TitlesOfParts>
    <vt:vector size="58" baseType="lpstr">
      <vt:lpstr>Menú Principa</vt:lpstr>
      <vt:lpstr>Diaria</vt:lpstr>
      <vt:lpstr>Semanal</vt:lpstr>
      <vt:lpstr>Quincenal</vt:lpstr>
      <vt:lpstr>Mensual</vt:lpstr>
      <vt:lpstr>Anual</vt:lpstr>
      <vt:lpstr>Asimilables</vt:lpstr>
      <vt:lpstr>Separacion</vt:lpstr>
      <vt:lpstr>Arrendamiento mensual</vt:lpstr>
      <vt:lpstr>Arr_Acum</vt:lpstr>
      <vt:lpstr>Honorarios</vt:lpstr>
      <vt:lpstr>Hono_Acum</vt:lpstr>
      <vt:lpstr>Enaj_1</vt:lpstr>
      <vt:lpstr>Enajenacion</vt:lpstr>
      <vt:lpstr>Anual_General</vt:lpstr>
      <vt:lpstr>Aguinaldos</vt:lpstr>
      <vt:lpstr>Imss</vt:lpstr>
      <vt:lpstr>Ietu</vt:lpstr>
      <vt:lpstr>INPC</vt:lpstr>
      <vt:lpstr>Tablas</vt:lpstr>
      <vt:lpstr>Anual</vt:lpstr>
      <vt:lpstr>Aguinaldos!Área_de_impresión</vt:lpstr>
      <vt:lpstr>Anual!Área_de_impresión</vt:lpstr>
      <vt:lpstr>Anual_General!Área_de_impresión</vt:lpstr>
      <vt:lpstr>Arr_Acum!Área_de_impresión</vt:lpstr>
      <vt:lpstr>'Arrendamiento mensual'!Área_de_impresión</vt:lpstr>
      <vt:lpstr>Asimilables!Área_de_impresión</vt:lpstr>
      <vt:lpstr>Enaj_1!Área_de_impresión</vt:lpstr>
      <vt:lpstr>Enajenacion!Área_de_impresión</vt:lpstr>
      <vt:lpstr>Hono_Acum!Área_de_impresión</vt:lpstr>
      <vt:lpstr>Honorarios!Área_de_impresión</vt:lpstr>
      <vt:lpstr>Ietu!Área_de_impresión</vt:lpstr>
      <vt:lpstr>Mensual!Área_de_impresión</vt:lpstr>
      <vt:lpstr>Quincenal!Área_de_impresión</vt:lpstr>
      <vt:lpstr>Semanal!Área_de_impresión</vt:lpstr>
      <vt:lpstr>Separacion!Área_de_impresión</vt:lpstr>
      <vt:lpstr>Tablas!Área_de_impresión</vt:lpstr>
      <vt:lpstr>Diaria</vt:lpstr>
      <vt:lpstr>INPC</vt:lpstr>
      <vt:lpstr>Mensual</vt:lpstr>
      <vt:lpstr>Qna</vt:lpstr>
      <vt:lpstr>SaDiaria</vt:lpstr>
      <vt:lpstr>SaSemana</vt:lpstr>
      <vt:lpstr>Semana</vt:lpstr>
      <vt:lpstr>SeMensual</vt:lpstr>
      <vt:lpstr>SeQna</vt:lpstr>
      <vt:lpstr>Tarifa1</vt:lpstr>
      <vt:lpstr>Tarifa10</vt:lpstr>
      <vt:lpstr>Tarifa11</vt:lpstr>
      <vt:lpstr>Tarifa12</vt:lpstr>
      <vt:lpstr>Tarifa2</vt:lpstr>
      <vt:lpstr>Tarifa3</vt:lpstr>
      <vt:lpstr>Tarifa4</vt:lpstr>
      <vt:lpstr>Tarifa5</vt:lpstr>
      <vt:lpstr>Tarifa6</vt:lpstr>
      <vt:lpstr>Tarifa7</vt:lpstr>
      <vt:lpstr>Tarifa8</vt:lpstr>
      <vt:lpstr>Tarifa9</vt:lpstr>
    </vt:vector>
  </TitlesOfParts>
  <Company>PGD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PGD</dc:creator>
  <cp:lastModifiedBy>Meza, Javier</cp:lastModifiedBy>
  <cp:lastPrinted>2011-11-30T17:56:42Z</cp:lastPrinted>
  <dcterms:created xsi:type="dcterms:W3CDTF">2000-09-07T00:15:55Z</dcterms:created>
  <dcterms:modified xsi:type="dcterms:W3CDTF">2013-01-10T14:52:48Z</dcterms:modified>
</cp:coreProperties>
</file>